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/>
  <xr:revisionPtr revIDLastSave="7" documentId="8_{29CE80B9-28E5-4E36-BCF4-5BB468CCE9AE}" xr6:coauthVersionLast="47" xr6:coauthVersionMax="47" xr10:uidLastSave="{79E6506A-F776-467E-8EB8-91A7E79EDAA2}"/>
  <bookViews>
    <workbookView xWindow="-120" yWindow="-120" windowWidth="29040" windowHeight="15840" tabRatio="940" activeTab="2" xr2:uid="{00000000-000D-0000-FFFF-FFFF00000000}"/>
  </bookViews>
  <sheets>
    <sheet name="bendros sumos" sheetId="26" r:id="rId1"/>
    <sheet name="I_savivalda" sheetId="5" r:id="rId2"/>
    <sheet name="II švietimas" sheetId="27" r:id="rId3"/>
    <sheet name="III sveikata" sheetId="28" r:id="rId4"/>
    <sheet name="IV socialinė" sheetId="29" r:id="rId5"/>
    <sheet name="V Saugumas" sheetId="30" r:id="rId6"/>
    <sheet name="VI Verslas Turizmas" sheetId="31" r:id="rId7"/>
    <sheet name="VII Žemės ūkis" sheetId="33" r:id="rId8"/>
    <sheet name="VIII Infrastruktūra" sheetId="32" r:id="rId9"/>
    <sheet name="IX Renovacijos" sheetId="34" r:id="rId10"/>
    <sheet name="X Aplinkosauga" sheetId="35" r:id="rId11"/>
    <sheet name="XI laisvalaikis" sheetId="36" r:id="rId12"/>
  </sheets>
  <definedNames>
    <definedName name="_xlnm._FilterDatabase" localSheetId="1" hidden="1">I_savivalda!$A$2:$T$103</definedName>
    <definedName name="_xlnm.Print_Area" localSheetId="1">I_savivalda!$A$1:$T$103</definedName>
    <definedName name="_xlnm.Print_Titles" localSheetId="1">I_savivalda!$2:$4</definedName>
  </definedNames>
  <calcPr calcId="181029"/>
</workbook>
</file>

<file path=xl/calcChain.xml><?xml version="1.0" encoding="utf-8"?>
<calcChain xmlns="http://schemas.openxmlformats.org/spreadsheetml/2006/main">
  <c r="H105" i="5" l="1"/>
  <c r="H40" i="35"/>
  <c r="H19" i="35"/>
  <c r="H66" i="32"/>
  <c r="H112" i="5"/>
  <c r="K87" i="5"/>
  <c r="J87" i="5"/>
  <c r="I87" i="5"/>
  <c r="H87" i="5"/>
  <c r="N86" i="5"/>
  <c r="L85" i="5"/>
  <c r="L87" i="5" s="1"/>
  <c r="N84" i="5"/>
  <c r="K25" i="34"/>
  <c r="J25" i="34"/>
  <c r="I25" i="34"/>
  <c r="H25" i="34"/>
  <c r="L24" i="34"/>
  <c r="L25" i="34" s="1"/>
  <c r="H43" i="35"/>
  <c r="M38" i="35"/>
  <c r="L38" i="35"/>
  <c r="K38" i="35"/>
  <c r="J38" i="35"/>
  <c r="I38" i="35"/>
  <c r="H38" i="35"/>
  <c r="N37" i="35"/>
  <c r="N38" i="35" s="1"/>
  <c r="N36" i="35"/>
  <c r="H117" i="29"/>
  <c r="K85" i="29"/>
  <c r="J85" i="29"/>
  <c r="I85" i="29"/>
  <c r="H85" i="29"/>
  <c r="L84" i="29"/>
  <c r="L85" i="29" s="1"/>
  <c r="K83" i="29"/>
  <c r="J83" i="29"/>
  <c r="I83" i="29"/>
  <c r="H83" i="29"/>
  <c r="L82" i="29"/>
  <c r="L83" i="29" s="1"/>
  <c r="H81" i="29"/>
  <c r="K81" i="29"/>
  <c r="J81" i="29"/>
  <c r="I81" i="29"/>
  <c r="L80" i="29"/>
  <c r="L81" i="29" s="1"/>
  <c r="K87" i="29"/>
  <c r="J87" i="29"/>
  <c r="I87" i="29"/>
  <c r="H87" i="29"/>
  <c r="L86" i="29"/>
  <c r="M86" i="29" s="1"/>
  <c r="M87" i="29" s="1"/>
  <c r="L29" i="28"/>
  <c r="L30" i="28" s="1"/>
  <c r="H30" i="28"/>
  <c r="H33" i="28" s="1"/>
  <c r="M85" i="5" l="1"/>
  <c r="N85" i="5" s="1"/>
  <c r="N87" i="5" s="1"/>
  <c r="M87" i="5"/>
  <c r="M24" i="34"/>
  <c r="M25" i="34" s="1"/>
  <c r="N24" i="34"/>
  <c r="N25" i="34" s="1"/>
  <c r="M84" i="29"/>
  <c r="M85" i="29" s="1"/>
  <c r="N85" i="29" s="1"/>
  <c r="M82" i="29"/>
  <c r="M83" i="29" s="1"/>
  <c r="N83" i="29" s="1"/>
  <c r="M80" i="29"/>
  <c r="M81" i="29" s="1"/>
  <c r="N81" i="29" s="1"/>
  <c r="N86" i="29"/>
  <c r="L87" i="29"/>
  <c r="N87" i="29" s="1"/>
  <c r="N84" i="29" l="1"/>
  <c r="N82" i="29"/>
  <c r="N117" i="29" s="1"/>
  <c r="N80" i="29"/>
  <c r="N10" i="34"/>
  <c r="H35" i="31"/>
  <c r="K21" i="30"/>
  <c r="J21" i="30"/>
  <c r="I21" i="30"/>
  <c r="H21" i="30"/>
  <c r="N34" i="35"/>
  <c r="N33" i="35"/>
  <c r="N31" i="35"/>
  <c r="N30" i="35"/>
  <c r="N28" i="35"/>
  <c r="N27" i="35"/>
  <c r="N21" i="35"/>
  <c r="E11" i="26"/>
  <c r="D11" i="26"/>
  <c r="C11" i="26"/>
  <c r="L31" i="36"/>
  <c r="L35" i="36"/>
  <c r="L36" i="36" s="1"/>
  <c r="L33" i="36"/>
  <c r="L34" i="36" s="1"/>
  <c r="L30" i="36"/>
  <c r="L28" i="36"/>
  <c r="L29" i="36" s="1"/>
  <c r="L25" i="36"/>
  <c r="M25" i="36" s="1"/>
  <c r="M27" i="36" s="1"/>
  <c r="L18" i="36"/>
  <c r="M18" i="36" s="1"/>
  <c r="L16" i="36"/>
  <c r="L14" i="36"/>
  <c r="M14" i="36" s="1"/>
  <c r="N14" i="36" s="1"/>
  <c r="L13" i="36"/>
  <c r="L8" i="36"/>
  <c r="K40" i="36"/>
  <c r="J40" i="36"/>
  <c r="I40" i="36"/>
  <c r="H40" i="36"/>
  <c r="K39" i="36"/>
  <c r="J39" i="36"/>
  <c r="I39" i="36"/>
  <c r="H39" i="36"/>
  <c r="K38" i="36"/>
  <c r="J38" i="36"/>
  <c r="I38" i="36"/>
  <c r="H38" i="36"/>
  <c r="H37" i="36"/>
  <c r="K36" i="36"/>
  <c r="J36" i="36"/>
  <c r="I36" i="36"/>
  <c r="H36" i="36"/>
  <c r="K34" i="36"/>
  <c r="J34" i="36"/>
  <c r="I34" i="36"/>
  <c r="H34" i="36"/>
  <c r="K32" i="36"/>
  <c r="J32" i="36"/>
  <c r="I32" i="36"/>
  <c r="H32" i="36"/>
  <c r="L32" i="36"/>
  <c r="K29" i="36"/>
  <c r="J29" i="36"/>
  <c r="I29" i="36"/>
  <c r="H29" i="36"/>
  <c r="K27" i="36"/>
  <c r="J27" i="36"/>
  <c r="I27" i="36"/>
  <c r="H27" i="36"/>
  <c r="L27" i="36"/>
  <c r="K22" i="36"/>
  <c r="J22" i="36"/>
  <c r="I22" i="36"/>
  <c r="H22" i="36"/>
  <c r="M21" i="36"/>
  <c r="M22" i="36" s="1"/>
  <c r="L21" i="36"/>
  <c r="L22" i="36" s="1"/>
  <c r="K19" i="36"/>
  <c r="J19" i="36"/>
  <c r="I19" i="36"/>
  <c r="H19" i="36"/>
  <c r="L19" i="36"/>
  <c r="K17" i="36"/>
  <c r="J17" i="36"/>
  <c r="I17" i="36"/>
  <c r="H17" i="36"/>
  <c r="K15" i="36"/>
  <c r="J15" i="36"/>
  <c r="I15" i="36"/>
  <c r="H15" i="36"/>
  <c r="K10" i="36"/>
  <c r="J10" i="36"/>
  <c r="I10" i="36"/>
  <c r="H10" i="36"/>
  <c r="J37" i="36" l="1"/>
  <c r="L10" i="36"/>
  <c r="M8" i="36"/>
  <c r="M10" i="36" s="1"/>
  <c r="L38" i="36"/>
  <c r="M13" i="36"/>
  <c r="L17" i="36"/>
  <c r="M16" i="36"/>
  <c r="M17" i="36" s="1"/>
  <c r="M31" i="36"/>
  <c r="L40" i="36"/>
  <c r="M15" i="36"/>
  <c r="M35" i="36"/>
  <c r="M36" i="36" s="1"/>
  <c r="I37" i="36"/>
  <c r="L15" i="36"/>
  <c r="M28" i="36"/>
  <c r="M29" i="36" s="1"/>
  <c r="K37" i="36"/>
  <c r="N18" i="36"/>
  <c r="N19" i="36" s="1"/>
  <c r="M30" i="36"/>
  <c r="N25" i="36"/>
  <c r="N27" i="36" s="1"/>
  <c r="L39" i="36"/>
  <c r="L37" i="36" s="1"/>
  <c r="M33" i="36"/>
  <c r="M38" i="36"/>
  <c r="N35" i="36"/>
  <c r="N36" i="36" s="1"/>
  <c r="M34" i="36"/>
  <c r="M19" i="36"/>
  <c r="N8" i="36"/>
  <c r="N10" i="36" s="1"/>
  <c r="N16" i="36"/>
  <c r="N17" i="36" s="1"/>
  <c r="N21" i="36"/>
  <c r="N22" i="36" s="1"/>
  <c r="N28" i="36"/>
  <c r="N33" i="36"/>
  <c r="N34" i="36" s="1"/>
  <c r="N13" i="36"/>
  <c r="M32" i="36" l="1"/>
  <c r="N30" i="36"/>
  <c r="N32" i="36" s="1"/>
  <c r="M40" i="36"/>
  <c r="N31" i="36"/>
  <c r="N40" i="36" s="1"/>
  <c r="N39" i="36"/>
  <c r="M39" i="36"/>
  <c r="M37" i="36" s="1"/>
  <c r="N29" i="36"/>
  <c r="N15" i="36"/>
  <c r="N38" i="36"/>
  <c r="N37" i="36" l="1"/>
  <c r="L16" i="35"/>
  <c r="L8" i="35"/>
  <c r="M8" i="35" s="1"/>
  <c r="K47" i="35"/>
  <c r="J47" i="35"/>
  <c r="I47" i="35"/>
  <c r="H47" i="35"/>
  <c r="K43" i="35"/>
  <c r="J43" i="35"/>
  <c r="I43" i="35"/>
  <c r="K40" i="35"/>
  <c r="K39" i="35" s="1"/>
  <c r="J40" i="35"/>
  <c r="J39" i="35" s="1"/>
  <c r="I40" i="35"/>
  <c r="I39" i="35" s="1"/>
  <c r="N35" i="35"/>
  <c r="M35" i="35"/>
  <c r="L35" i="35"/>
  <c r="K35" i="35"/>
  <c r="J35" i="35"/>
  <c r="I35" i="35"/>
  <c r="H35" i="35"/>
  <c r="N32" i="35"/>
  <c r="M32" i="35"/>
  <c r="L32" i="35"/>
  <c r="K32" i="35"/>
  <c r="J32" i="35"/>
  <c r="I32" i="35"/>
  <c r="H32" i="35"/>
  <c r="N29" i="35"/>
  <c r="H29" i="35"/>
  <c r="M26" i="35"/>
  <c r="L26" i="35"/>
  <c r="K26" i="35"/>
  <c r="J26" i="35"/>
  <c r="I26" i="35"/>
  <c r="H26" i="35"/>
  <c r="N25" i="35"/>
  <c r="N26" i="35" s="1"/>
  <c r="M24" i="35"/>
  <c r="L24" i="35"/>
  <c r="K24" i="35"/>
  <c r="J24" i="35"/>
  <c r="I24" i="35"/>
  <c r="H24" i="35"/>
  <c r="N23" i="35"/>
  <c r="N22" i="35"/>
  <c r="N24" i="35" s="1"/>
  <c r="K17" i="35"/>
  <c r="J17" i="35"/>
  <c r="I17" i="35"/>
  <c r="H17" i="35"/>
  <c r="M15" i="35"/>
  <c r="M43" i="35" s="1"/>
  <c r="L15" i="35"/>
  <c r="L43" i="35" s="1"/>
  <c r="M14" i="35"/>
  <c r="M47" i="35" s="1"/>
  <c r="L14" i="35"/>
  <c r="K12" i="35"/>
  <c r="J12" i="35"/>
  <c r="I12" i="35"/>
  <c r="H12" i="35"/>
  <c r="M11" i="35"/>
  <c r="L11" i="35"/>
  <c r="L12" i="35" s="1"/>
  <c r="K10" i="35"/>
  <c r="J10" i="35"/>
  <c r="I10" i="35"/>
  <c r="H10" i="35"/>
  <c r="H39" i="35" l="1"/>
  <c r="N11" i="35"/>
  <c r="M10" i="35"/>
  <c r="M12" i="35"/>
  <c r="N12" i="35" s="1"/>
  <c r="M16" i="35"/>
  <c r="L40" i="35"/>
  <c r="L17" i="35"/>
  <c r="N8" i="35"/>
  <c r="N14" i="35"/>
  <c r="L10" i="35"/>
  <c r="N10" i="35" s="1"/>
  <c r="L47" i="35"/>
  <c r="N15" i="35"/>
  <c r="N43" i="35" s="1"/>
  <c r="M40" i="35" l="1"/>
  <c r="M39" i="35" s="1"/>
  <c r="N16" i="35"/>
  <c r="N40" i="35" s="1"/>
  <c r="M17" i="35"/>
  <c r="L39" i="35"/>
  <c r="N47" i="35"/>
  <c r="N17" i="35"/>
  <c r="N39" i="35" l="1"/>
  <c r="H23" i="34"/>
  <c r="M44" i="34"/>
  <c r="L44" i="34"/>
  <c r="K44" i="34"/>
  <c r="J44" i="34"/>
  <c r="I44" i="34"/>
  <c r="H44" i="34"/>
  <c r="M41" i="34"/>
  <c r="K41" i="34"/>
  <c r="J41" i="34"/>
  <c r="I41" i="34"/>
  <c r="H41" i="34"/>
  <c r="K40" i="34"/>
  <c r="J40" i="34"/>
  <c r="I40" i="34"/>
  <c r="K39" i="34"/>
  <c r="J39" i="34"/>
  <c r="I39" i="34"/>
  <c r="K35" i="34"/>
  <c r="J35" i="34"/>
  <c r="I35" i="34"/>
  <c r="H35" i="34"/>
  <c r="L34" i="34"/>
  <c r="L35" i="34" s="1"/>
  <c r="K33" i="34"/>
  <c r="J33" i="34"/>
  <c r="I33" i="34"/>
  <c r="H33" i="34"/>
  <c r="M32" i="34"/>
  <c r="M33" i="34" s="1"/>
  <c r="L32" i="34"/>
  <c r="L33" i="34" s="1"/>
  <c r="N31" i="34"/>
  <c r="N30" i="34"/>
  <c r="K23" i="34"/>
  <c r="J23" i="34"/>
  <c r="I23" i="34"/>
  <c r="L22" i="34"/>
  <c r="M22" i="34" s="1"/>
  <c r="K21" i="34"/>
  <c r="J21" i="34"/>
  <c r="I21" i="34"/>
  <c r="H21" i="34"/>
  <c r="L21" i="34"/>
  <c r="K18" i="34"/>
  <c r="J18" i="34"/>
  <c r="I18" i="34"/>
  <c r="H18" i="34"/>
  <c r="L17" i="34"/>
  <c r="M17" i="34" s="1"/>
  <c r="M14" i="34"/>
  <c r="L14" i="34"/>
  <c r="H14" i="34"/>
  <c r="N12" i="34"/>
  <c r="M11" i="34"/>
  <c r="L11" i="34"/>
  <c r="K11" i="34"/>
  <c r="K14" i="34" s="1"/>
  <c r="J11" i="34"/>
  <c r="J14" i="34" s="1"/>
  <c r="I11" i="34"/>
  <c r="I14" i="34" s="1"/>
  <c r="H11" i="34"/>
  <c r="N9" i="34"/>
  <c r="N8" i="34"/>
  <c r="L18" i="34" l="1"/>
  <c r="N41" i="34"/>
  <c r="K37" i="34"/>
  <c r="K36" i="34" s="1"/>
  <c r="H37" i="34"/>
  <c r="H36" i="34" s="1"/>
  <c r="N44" i="34"/>
  <c r="N32" i="34"/>
  <c r="N33" i="34" s="1"/>
  <c r="L23" i="34"/>
  <c r="L37" i="34" s="1"/>
  <c r="L36" i="34" s="1"/>
  <c r="I37" i="34"/>
  <c r="I36" i="34" s="1"/>
  <c r="J37" i="34"/>
  <c r="J36" i="34" s="1"/>
  <c r="M18" i="34"/>
  <c r="N17" i="34"/>
  <c r="N18" i="34" s="1"/>
  <c r="M23" i="34"/>
  <c r="N22" i="34"/>
  <c r="N23" i="34" s="1"/>
  <c r="N11" i="34"/>
  <c r="N14" i="34" s="1"/>
  <c r="M20" i="34"/>
  <c r="M21" i="34" s="1"/>
  <c r="M34" i="34"/>
  <c r="M35" i="34" s="1"/>
  <c r="N20" i="34" l="1"/>
  <c r="N21" i="34" s="1"/>
  <c r="M37" i="34"/>
  <c r="M36" i="34" s="1"/>
  <c r="N34" i="34"/>
  <c r="N35" i="34" s="1"/>
  <c r="N37" i="34" l="1"/>
  <c r="N36" i="34" s="1"/>
  <c r="M21" i="32"/>
  <c r="K72" i="32"/>
  <c r="J72" i="32"/>
  <c r="I72" i="32"/>
  <c r="H72" i="32"/>
  <c r="K69" i="32"/>
  <c r="J69" i="32"/>
  <c r="I69" i="32"/>
  <c r="H69" i="32"/>
  <c r="K66" i="32"/>
  <c r="K65" i="32" s="1"/>
  <c r="J66" i="32"/>
  <c r="J65" i="32" s="1"/>
  <c r="I66" i="32"/>
  <c r="I65" i="32" s="1"/>
  <c r="K64" i="32"/>
  <c r="J64" i="32"/>
  <c r="I64" i="32"/>
  <c r="H64" i="32"/>
  <c r="L63" i="32"/>
  <c r="L64" i="32" s="1"/>
  <c r="N62" i="32"/>
  <c r="N61" i="32"/>
  <c r="K60" i="32"/>
  <c r="J60" i="32"/>
  <c r="I60" i="32"/>
  <c r="H60" i="32"/>
  <c r="L59" i="32"/>
  <c r="L60" i="32" s="1"/>
  <c r="K57" i="32"/>
  <c r="J57" i="32"/>
  <c r="I57" i="32"/>
  <c r="H57" i="32"/>
  <c r="L56" i="32"/>
  <c r="L57" i="32" s="1"/>
  <c r="K55" i="32"/>
  <c r="J55" i="32"/>
  <c r="I55" i="32"/>
  <c r="H55" i="32"/>
  <c r="L53" i="32"/>
  <c r="M53" i="32" s="1"/>
  <c r="M55" i="32" s="1"/>
  <c r="K52" i="32"/>
  <c r="J52" i="32"/>
  <c r="I52" i="32"/>
  <c r="H52" i="32"/>
  <c r="L51" i="32"/>
  <c r="L52" i="32" s="1"/>
  <c r="K50" i="32"/>
  <c r="J50" i="32"/>
  <c r="I50" i="32"/>
  <c r="H50" i="32"/>
  <c r="M49" i="32"/>
  <c r="M50" i="32" s="1"/>
  <c r="L49" i="32"/>
  <c r="L50" i="32" s="1"/>
  <c r="K48" i="32"/>
  <c r="J48" i="32"/>
  <c r="I48" i="32"/>
  <c r="H48" i="32"/>
  <c r="L47" i="32"/>
  <c r="L48" i="32" s="1"/>
  <c r="K44" i="32"/>
  <c r="J44" i="32"/>
  <c r="I44" i="32"/>
  <c r="H44" i="32"/>
  <c r="M43" i="32"/>
  <c r="M44" i="32" s="1"/>
  <c r="L43" i="32"/>
  <c r="L44" i="32" s="1"/>
  <c r="K42" i="32"/>
  <c r="J42" i="32"/>
  <c r="I42" i="32"/>
  <c r="H42" i="32"/>
  <c r="M41" i="32"/>
  <c r="M42" i="32" s="1"/>
  <c r="L41" i="32"/>
  <c r="L42" i="32" s="1"/>
  <c r="K39" i="32"/>
  <c r="J39" i="32"/>
  <c r="I39" i="32"/>
  <c r="H39" i="32"/>
  <c r="M34" i="32"/>
  <c r="M39" i="32" s="1"/>
  <c r="L34" i="32"/>
  <c r="L39" i="32" s="1"/>
  <c r="K33" i="32"/>
  <c r="J33" i="32"/>
  <c r="I33" i="32"/>
  <c r="H33" i="32"/>
  <c r="L32" i="32"/>
  <c r="L33" i="32" s="1"/>
  <c r="K30" i="32"/>
  <c r="J30" i="32"/>
  <c r="I30" i="32"/>
  <c r="H30" i="32"/>
  <c r="M29" i="32"/>
  <c r="M30" i="32" s="1"/>
  <c r="L29" i="32"/>
  <c r="L30" i="32" s="1"/>
  <c r="K28" i="32"/>
  <c r="J28" i="32"/>
  <c r="I28" i="32"/>
  <c r="H28" i="32"/>
  <c r="M27" i="32"/>
  <c r="M28" i="32" s="1"/>
  <c r="L27" i="32"/>
  <c r="L28" i="32" s="1"/>
  <c r="K26" i="32"/>
  <c r="J26" i="32"/>
  <c r="I26" i="32"/>
  <c r="H26" i="32"/>
  <c r="M25" i="32"/>
  <c r="M69" i="32" s="1"/>
  <c r="L25" i="32"/>
  <c r="L69" i="32" s="1"/>
  <c r="L24" i="32"/>
  <c r="M24" i="32" s="1"/>
  <c r="M23" i="32"/>
  <c r="L23" i="32"/>
  <c r="L72" i="32" s="1"/>
  <c r="L21" i="32"/>
  <c r="K21" i="32"/>
  <c r="J21" i="32"/>
  <c r="I21" i="32"/>
  <c r="H21" i="32"/>
  <c r="N19" i="32"/>
  <c r="K18" i="32"/>
  <c r="J18" i="32"/>
  <c r="I18" i="32"/>
  <c r="H18" i="32"/>
  <c r="M17" i="32"/>
  <c r="M18" i="32" s="1"/>
  <c r="L17" i="32"/>
  <c r="L18" i="32" s="1"/>
  <c r="K16" i="32"/>
  <c r="J16" i="32"/>
  <c r="I16" i="32"/>
  <c r="H16" i="32"/>
  <c r="L15" i="32"/>
  <c r="L16" i="32" s="1"/>
  <c r="K14" i="32"/>
  <c r="J14" i="32"/>
  <c r="I14" i="32"/>
  <c r="H14" i="32"/>
  <c r="L13" i="32"/>
  <c r="L14" i="32" s="1"/>
  <c r="K10" i="32"/>
  <c r="J10" i="32"/>
  <c r="I10" i="32"/>
  <c r="H10" i="32"/>
  <c r="L9" i="32"/>
  <c r="L10" i="32" s="1"/>
  <c r="N23" i="32" l="1"/>
  <c r="H65" i="32"/>
  <c r="N72" i="32"/>
  <c r="M26" i="32"/>
  <c r="M56" i="32"/>
  <c r="M57" i="32" s="1"/>
  <c r="N42" i="32"/>
  <c r="N30" i="32"/>
  <c r="M59" i="32"/>
  <c r="M60" i="32" s="1"/>
  <c r="N17" i="32"/>
  <c r="N18" i="32" s="1"/>
  <c r="M72" i="32"/>
  <c r="M63" i="32"/>
  <c r="M64" i="32" s="1"/>
  <c r="N27" i="32"/>
  <c r="N56" i="32"/>
  <c r="N57" i="32" s="1"/>
  <c r="M9" i="32"/>
  <c r="M10" i="32" s="1"/>
  <c r="M13" i="32"/>
  <c r="M14" i="32" s="1"/>
  <c r="N14" i="32" s="1"/>
  <c r="N44" i="32"/>
  <c r="M15" i="32"/>
  <c r="M16" i="32" s="1"/>
  <c r="N16" i="32" s="1"/>
  <c r="N39" i="32"/>
  <c r="L66" i="32"/>
  <c r="M32" i="32"/>
  <c r="M33" i="32" s="1"/>
  <c r="N41" i="32"/>
  <c r="M47" i="32"/>
  <c r="N13" i="32"/>
  <c r="N32" i="32"/>
  <c r="N33" i="32"/>
  <c r="N24" i="32"/>
  <c r="N10" i="32"/>
  <c r="L65" i="32"/>
  <c r="N28" i="32"/>
  <c r="N9" i="32"/>
  <c r="N20" i="32"/>
  <c r="N21" i="32" s="1"/>
  <c r="N25" i="32"/>
  <c r="N29" i="32"/>
  <c r="N34" i="32"/>
  <c r="N43" i="32"/>
  <c r="N49" i="32"/>
  <c r="N50" i="32" s="1"/>
  <c r="N53" i="32"/>
  <c r="N63" i="32"/>
  <c r="N64" i="32" s="1"/>
  <c r="L26" i="32"/>
  <c r="M51" i="32"/>
  <c r="L55" i="32"/>
  <c r="N47" i="32" l="1"/>
  <c r="M48" i="32"/>
  <c r="N48" i="32" s="1"/>
  <c r="M66" i="32"/>
  <c r="M65" i="32" s="1"/>
  <c r="N59" i="32"/>
  <c r="N60" i="32" s="1"/>
  <c r="N15" i="32"/>
  <c r="N66" i="32" s="1"/>
  <c r="N26" i="32"/>
  <c r="N51" i="32"/>
  <c r="N52" i="32" s="1"/>
  <c r="M52" i="32"/>
  <c r="N55" i="32"/>
  <c r="N69" i="32"/>
  <c r="N65" i="32" l="1"/>
  <c r="K26" i="33"/>
  <c r="J26" i="33"/>
  <c r="I26" i="33"/>
  <c r="H26" i="33"/>
  <c r="M24" i="33"/>
  <c r="L24" i="33"/>
  <c r="K24" i="33"/>
  <c r="J24" i="33"/>
  <c r="I24" i="33"/>
  <c r="H24" i="33"/>
  <c r="N24" i="33" s="1"/>
  <c r="K21" i="33"/>
  <c r="J21" i="33"/>
  <c r="I21" i="33"/>
  <c r="H21" i="33"/>
  <c r="L20" i="33"/>
  <c r="K18" i="33"/>
  <c r="J18" i="33"/>
  <c r="I18" i="33"/>
  <c r="H18" i="33"/>
  <c r="L17" i="33"/>
  <c r="L18" i="33" s="1"/>
  <c r="K14" i="33"/>
  <c r="K27" i="33" s="1"/>
  <c r="K25" i="33" s="1"/>
  <c r="J14" i="33"/>
  <c r="J27" i="33" s="1"/>
  <c r="I14" i="33"/>
  <c r="I27" i="33" s="1"/>
  <c r="I25" i="33" s="1"/>
  <c r="H14" i="33"/>
  <c r="L13" i="33"/>
  <c r="L14" i="33" s="1"/>
  <c r="K10" i="33"/>
  <c r="J10" i="33"/>
  <c r="I10" i="33"/>
  <c r="H10" i="33"/>
  <c r="L9" i="33"/>
  <c r="M9" i="33" s="1"/>
  <c r="L8" i="33"/>
  <c r="M8" i="33" s="1"/>
  <c r="M10" i="33" l="1"/>
  <c r="L26" i="33"/>
  <c r="M13" i="33"/>
  <c r="M17" i="33"/>
  <c r="M18" i="33" s="1"/>
  <c r="N18" i="33" s="1"/>
  <c r="M20" i="33"/>
  <c r="L10" i="33"/>
  <c r="N9" i="33"/>
  <c r="J25" i="33"/>
  <c r="L21" i="33"/>
  <c r="H27" i="33"/>
  <c r="H25" i="33" s="1"/>
  <c r="L27" i="33"/>
  <c r="L25" i="33" s="1"/>
  <c r="N17" i="33"/>
  <c r="M21" i="33"/>
  <c r="N8" i="33"/>
  <c r="N20" i="33" l="1"/>
  <c r="M26" i="33"/>
  <c r="N13" i="33"/>
  <c r="M14" i="33"/>
  <c r="N26" i="33"/>
  <c r="N21" i="33"/>
  <c r="N10" i="33"/>
  <c r="M27" i="33" l="1"/>
  <c r="M25" i="33" s="1"/>
  <c r="N14" i="33"/>
  <c r="N27" i="33" s="1"/>
  <c r="N25" i="33" s="1"/>
  <c r="L22" i="31"/>
  <c r="L23" i="31" s="1"/>
  <c r="L10" i="31"/>
  <c r="M10" i="31"/>
  <c r="N10" i="31" s="1"/>
  <c r="L9" i="31"/>
  <c r="K40" i="31"/>
  <c r="J40" i="31"/>
  <c r="I40" i="31"/>
  <c r="K37" i="31"/>
  <c r="J37" i="31"/>
  <c r="I37" i="31"/>
  <c r="K31" i="31"/>
  <c r="J31" i="31"/>
  <c r="I31" i="31"/>
  <c r="H31" i="31"/>
  <c r="M30" i="31"/>
  <c r="M31" i="31" s="1"/>
  <c r="L30" i="31"/>
  <c r="L31" i="31" s="1"/>
  <c r="K29" i="31"/>
  <c r="J29" i="31"/>
  <c r="I29" i="31"/>
  <c r="H29" i="31"/>
  <c r="M28" i="31"/>
  <c r="L28" i="31"/>
  <c r="M27" i="31"/>
  <c r="M29" i="31" s="1"/>
  <c r="L27" i="31"/>
  <c r="L29" i="31" s="1"/>
  <c r="K26" i="31"/>
  <c r="J26" i="31"/>
  <c r="I26" i="31"/>
  <c r="H26" i="31"/>
  <c r="M25" i="31"/>
  <c r="M26" i="31" s="1"/>
  <c r="L25" i="31"/>
  <c r="K23" i="31"/>
  <c r="K33" i="31" s="1"/>
  <c r="K32" i="31" s="1"/>
  <c r="J23" i="31"/>
  <c r="J33" i="31" s="1"/>
  <c r="J32" i="31" s="1"/>
  <c r="I23" i="31"/>
  <c r="I33" i="31" s="1"/>
  <c r="I32" i="31" s="1"/>
  <c r="H23" i="31"/>
  <c r="H33" i="31" s="1"/>
  <c r="H32" i="31" s="1"/>
  <c r="M19" i="31"/>
  <c r="L19" i="31"/>
  <c r="K19" i="31"/>
  <c r="J19" i="31"/>
  <c r="I19" i="31"/>
  <c r="H19" i="31"/>
  <c r="N19" i="31" s="1"/>
  <c r="N18" i="31"/>
  <c r="M16" i="31"/>
  <c r="L16" i="31"/>
  <c r="K16" i="31"/>
  <c r="J16" i="31"/>
  <c r="I16" i="31"/>
  <c r="H16" i="31"/>
  <c r="N16" i="31" s="1"/>
  <c r="M14" i="31"/>
  <c r="L14" i="31"/>
  <c r="K14" i="31"/>
  <c r="K35" i="31" s="1"/>
  <c r="J14" i="31"/>
  <c r="J35" i="31" s="1"/>
  <c r="I14" i="31"/>
  <c r="I35" i="31" s="1"/>
  <c r="H14" i="31"/>
  <c r="K11" i="31"/>
  <c r="J11" i="31"/>
  <c r="I11" i="31"/>
  <c r="H11" i="31"/>
  <c r="L11" i="31"/>
  <c r="N14" i="31" l="1"/>
  <c r="N35" i="31" s="1"/>
  <c r="N25" i="31"/>
  <c r="L26" i="31"/>
  <c r="L35" i="31"/>
  <c r="M9" i="31"/>
  <c r="M35" i="31" s="1"/>
  <c r="L33" i="31"/>
  <c r="N30" i="31"/>
  <c r="N31" i="31" s="1"/>
  <c r="M22" i="31"/>
  <c r="M23" i="31" s="1"/>
  <c r="M33" i="31" s="1"/>
  <c r="N26" i="31"/>
  <c r="N9" i="31"/>
  <c r="N28" i="31"/>
  <c r="M32" i="31"/>
  <c r="L32" i="31"/>
  <c r="N23" i="31"/>
  <c r="M11" i="31"/>
  <c r="N11" i="31" s="1"/>
  <c r="N22" i="31"/>
  <c r="N27" i="31"/>
  <c r="N33" i="31" l="1"/>
  <c r="N32" i="31" s="1"/>
  <c r="N29" i="31"/>
  <c r="L106" i="29"/>
  <c r="L103" i="29"/>
  <c r="M103" i="29" s="1"/>
  <c r="L99" i="29"/>
  <c r="L101" i="29"/>
  <c r="L97" i="29"/>
  <c r="L95" i="29"/>
  <c r="L93" i="29"/>
  <c r="L91" i="29"/>
  <c r="L88" i="29"/>
  <c r="L78" i="29"/>
  <c r="L76" i="29"/>
  <c r="L72" i="29"/>
  <c r="L70" i="29"/>
  <c r="L68" i="29"/>
  <c r="L66" i="29"/>
  <c r="L65" i="29"/>
  <c r="L63" i="29"/>
  <c r="L61" i="29"/>
  <c r="L59" i="29"/>
  <c r="L57" i="29"/>
  <c r="L55" i="29"/>
  <c r="L53" i="29"/>
  <c r="L49" i="29"/>
  <c r="L47" i="29"/>
  <c r="L45" i="29"/>
  <c r="L43" i="29"/>
  <c r="L41" i="29"/>
  <c r="L37" i="29"/>
  <c r="L36" i="29"/>
  <c r="L34" i="29"/>
  <c r="M34" i="29" s="1"/>
  <c r="L32" i="29"/>
  <c r="L30" i="29"/>
  <c r="L28" i="29"/>
  <c r="L26" i="29"/>
  <c r="L24" i="29"/>
  <c r="L22" i="29"/>
  <c r="L20" i="29"/>
  <c r="L18" i="29"/>
  <c r="L16" i="29"/>
  <c r="L14" i="29"/>
  <c r="L12" i="29"/>
  <c r="H77" i="29"/>
  <c r="K37" i="28"/>
  <c r="J37" i="28"/>
  <c r="I37" i="28"/>
  <c r="K35" i="28"/>
  <c r="J35" i="28"/>
  <c r="I35" i="28"/>
  <c r="H35" i="28"/>
  <c r="K30" i="28"/>
  <c r="K33" i="28" s="1"/>
  <c r="J30" i="28"/>
  <c r="J33" i="28" s="1"/>
  <c r="I30" i="28"/>
  <c r="I33" i="28" s="1"/>
  <c r="M29" i="28"/>
  <c r="M30" i="28" s="1"/>
  <c r="K28" i="28"/>
  <c r="K32" i="28" s="1"/>
  <c r="K31" i="28" s="1"/>
  <c r="J28" i="28"/>
  <c r="J32" i="28" s="1"/>
  <c r="J31" i="28" s="1"/>
  <c r="I28" i="28"/>
  <c r="I32" i="28" s="1"/>
  <c r="I31" i="28" s="1"/>
  <c r="H28" i="28"/>
  <c r="H32" i="28" s="1"/>
  <c r="H31" i="28" s="1"/>
  <c r="L27" i="28"/>
  <c r="L28" i="28" s="1"/>
  <c r="K25" i="28"/>
  <c r="J25" i="28"/>
  <c r="I25" i="28"/>
  <c r="H25" i="28"/>
  <c r="L24" i="28"/>
  <c r="M24" i="28" s="1"/>
  <c r="M25" i="28" s="1"/>
  <c r="K23" i="28"/>
  <c r="J23" i="28"/>
  <c r="I23" i="28"/>
  <c r="H23" i="28"/>
  <c r="M21" i="28"/>
  <c r="M23" i="28" s="1"/>
  <c r="L21" i="28"/>
  <c r="L23" i="28" s="1"/>
  <c r="K18" i="28"/>
  <c r="J18" i="28"/>
  <c r="I18" i="28"/>
  <c r="H18" i="28"/>
  <c r="L17" i="28"/>
  <c r="K15" i="28"/>
  <c r="J15" i="28"/>
  <c r="I15" i="28"/>
  <c r="H15" i="28"/>
  <c r="L14" i="28"/>
  <c r="L13" i="28"/>
  <c r="L15" i="28" s="1"/>
  <c r="K11" i="28"/>
  <c r="J11" i="28"/>
  <c r="I11" i="28"/>
  <c r="H11" i="28"/>
  <c r="L10" i="28"/>
  <c r="M10" i="28" s="1"/>
  <c r="M11" i="28" s="1"/>
  <c r="K9" i="28"/>
  <c r="J9" i="28"/>
  <c r="I9" i="28"/>
  <c r="H9" i="28"/>
  <c r="L8" i="28"/>
  <c r="L9" i="28" s="1"/>
  <c r="L32" i="28" l="1"/>
  <c r="M24" i="29"/>
  <c r="N24" i="29"/>
  <c r="L18" i="28"/>
  <c r="M8" i="28"/>
  <c r="L27" i="29"/>
  <c r="M43" i="29"/>
  <c r="N43" i="29" s="1"/>
  <c r="M61" i="29"/>
  <c r="N61" i="29" s="1"/>
  <c r="M78" i="29"/>
  <c r="N78" i="29" s="1"/>
  <c r="N103" i="29"/>
  <c r="M41" i="29"/>
  <c r="N41" i="29" s="1"/>
  <c r="M12" i="29"/>
  <c r="N12" i="29" s="1"/>
  <c r="M28" i="29"/>
  <c r="N28" i="29" s="1"/>
  <c r="M45" i="29"/>
  <c r="N45" i="29"/>
  <c r="M63" i="29"/>
  <c r="N63" i="29" s="1"/>
  <c r="M88" i="29"/>
  <c r="M89" i="29" s="1"/>
  <c r="M106" i="29"/>
  <c r="N106" i="29" s="1"/>
  <c r="L33" i="28"/>
  <c r="N29" i="28"/>
  <c r="N30" i="28" s="1"/>
  <c r="M13" i="28"/>
  <c r="M14" i="29"/>
  <c r="N14" i="29" s="1"/>
  <c r="M30" i="29"/>
  <c r="N30" i="29" s="1"/>
  <c r="M47" i="29"/>
  <c r="N47" i="29" s="1"/>
  <c r="M65" i="29"/>
  <c r="N65" i="29" s="1"/>
  <c r="M91" i="29"/>
  <c r="N91" i="29" s="1"/>
  <c r="M14" i="28"/>
  <c r="M16" i="29"/>
  <c r="N16" i="29" s="1"/>
  <c r="M32" i="29"/>
  <c r="N32" i="29" s="1"/>
  <c r="M49" i="29"/>
  <c r="N49" i="29" s="1"/>
  <c r="M59" i="29"/>
  <c r="N59" i="29" s="1"/>
  <c r="M17" i="28"/>
  <c r="M18" i="28" s="1"/>
  <c r="M18" i="29"/>
  <c r="N18" i="29" s="1"/>
  <c r="N34" i="29"/>
  <c r="M53" i="29"/>
  <c r="N53" i="29" s="1"/>
  <c r="M68" i="29"/>
  <c r="M69" i="29" s="1"/>
  <c r="M95" i="29"/>
  <c r="N95" i="29" s="1"/>
  <c r="M66" i="29"/>
  <c r="N66" i="29" s="1"/>
  <c r="M20" i="29"/>
  <c r="N20" i="29" s="1"/>
  <c r="M36" i="29"/>
  <c r="N36" i="29" s="1"/>
  <c r="M55" i="29"/>
  <c r="N55" i="29" s="1"/>
  <c r="M70" i="29"/>
  <c r="N70" i="29" s="1"/>
  <c r="M97" i="29"/>
  <c r="N97" i="29" s="1"/>
  <c r="M76" i="29"/>
  <c r="N76" i="29" s="1"/>
  <c r="L11" i="28"/>
  <c r="N10" i="28"/>
  <c r="N21" i="28"/>
  <c r="N23" i="28" s="1"/>
  <c r="L25" i="28"/>
  <c r="N24" i="28"/>
  <c r="M27" i="28"/>
  <c r="M28" i="28" s="1"/>
  <c r="M22" i="29"/>
  <c r="N22" i="29" s="1"/>
  <c r="M37" i="29"/>
  <c r="N37" i="29" s="1"/>
  <c r="M57" i="29"/>
  <c r="N57" i="29" s="1"/>
  <c r="M72" i="29"/>
  <c r="N72" i="29" s="1"/>
  <c r="M101" i="29"/>
  <c r="N101" i="29" s="1"/>
  <c r="M93" i="29"/>
  <c r="N93" i="29" s="1"/>
  <c r="M26" i="29"/>
  <c r="N26" i="29" s="1"/>
  <c r="L69" i="29"/>
  <c r="M33" i="28"/>
  <c r="N11" i="28"/>
  <c r="L35" i="28"/>
  <c r="N25" i="28"/>
  <c r="M35" i="28" l="1"/>
  <c r="N14" i="28"/>
  <c r="N35" i="28" s="1"/>
  <c r="M15" i="28"/>
  <c r="N17" i="28"/>
  <c r="N18" i="28" s="1"/>
  <c r="N13" i="28"/>
  <c r="N15" i="28" s="1"/>
  <c r="L31" i="28"/>
  <c r="M9" i="28"/>
  <c r="N68" i="29"/>
  <c r="N8" i="28"/>
  <c r="N9" i="28" s="1"/>
  <c r="M32" i="28"/>
  <c r="M31" i="28" s="1"/>
  <c r="N27" i="28"/>
  <c r="N88" i="29"/>
  <c r="N33" i="28"/>
  <c r="N32" i="28" l="1"/>
  <c r="N28" i="28"/>
  <c r="N31" i="28"/>
  <c r="L9" i="27" l="1"/>
  <c r="M9" i="27" s="1"/>
  <c r="H58" i="27"/>
  <c r="I30" i="27"/>
  <c r="J30" i="27" s="1"/>
  <c r="M18" i="30" l="1"/>
  <c r="L18" i="30"/>
  <c r="K18" i="30"/>
  <c r="J18" i="30"/>
  <c r="I18" i="30"/>
  <c r="H18" i="30"/>
  <c r="N17" i="30"/>
  <c r="N18" i="30" s="1"/>
  <c r="K15" i="30"/>
  <c r="J15" i="30"/>
  <c r="J20" i="30" s="1"/>
  <c r="I15" i="30"/>
  <c r="I20" i="30" s="1"/>
  <c r="H15" i="30"/>
  <c r="L13" i="30"/>
  <c r="K12" i="30"/>
  <c r="J12" i="30"/>
  <c r="I12" i="30"/>
  <c r="H12" i="30"/>
  <c r="L11" i="30"/>
  <c r="K10" i="30"/>
  <c r="K19" i="30" s="1"/>
  <c r="J10" i="30"/>
  <c r="I10" i="30"/>
  <c r="I19" i="30" s="1"/>
  <c r="H10" i="30"/>
  <c r="L9" i="30"/>
  <c r="L8" i="30"/>
  <c r="M13" i="30" l="1"/>
  <c r="M15" i="30" s="1"/>
  <c r="M8" i="30"/>
  <c r="N8" i="30"/>
  <c r="K20" i="30"/>
  <c r="H20" i="30"/>
  <c r="L15" i="30"/>
  <c r="L20" i="30" s="1"/>
  <c r="J19" i="30"/>
  <c r="L10" i="30"/>
  <c r="L12" i="30"/>
  <c r="M11" i="30"/>
  <c r="M12" i="30" s="1"/>
  <c r="L21" i="30"/>
  <c r="M9" i="30"/>
  <c r="M21" i="30" s="1"/>
  <c r="H19" i="30"/>
  <c r="L19" i="30" l="1"/>
  <c r="M10" i="30"/>
  <c r="M19" i="30" s="1"/>
  <c r="N19" i="30" s="1"/>
  <c r="M20" i="30"/>
  <c r="N11" i="30"/>
  <c r="N12" i="30" s="1"/>
  <c r="N13" i="30"/>
  <c r="N15" i="30" s="1"/>
  <c r="N20" i="30"/>
  <c r="N9" i="30"/>
  <c r="N21" i="30" s="1"/>
  <c r="K121" i="29"/>
  <c r="J121" i="29"/>
  <c r="I121" i="29"/>
  <c r="H121" i="29"/>
  <c r="K118" i="29"/>
  <c r="J118" i="29"/>
  <c r="I118" i="29"/>
  <c r="H118" i="29"/>
  <c r="K112" i="29"/>
  <c r="J112" i="29"/>
  <c r="I112" i="29"/>
  <c r="H112" i="29"/>
  <c r="M111" i="29"/>
  <c r="M118" i="29" s="1"/>
  <c r="L111" i="29"/>
  <c r="L118" i="29" s="1"/>
  <c r="M110" i="29"/>
  <c r="L110" i="29"/>
  <c r="M109" i="29"/>
  <c r="M121" i="29" s="1"/>
  <c r="L109" i="29"/>
  <c r="M107" i="29"/>
  <c r="K107" i="29"/>
  <c r="J107" i="29"/>
  <c r="I107" i="29"/>
  <c r="H107" i="29"/>
  <c r="L107" i="29"/>
  <c r="M104" i="29"/>
  <c r="K104" i="29"/>
  <c r="J104" i="29"/>
  <c r="I104" i="29"/>
  <c r="H104" i="29"/>
  <c r="L104" i="29"/>
  <c r="M102" i="29"/>
  <c r="K102" i="29"/>
  <c r="J102" i="29"/>
  <c r="I102" i="29"/>
  <c r="H102" i="29"/>
  <c r="L102" i="29"/>
  <c r="K100" i="29"/>
  <c r="J100" i="29"/>
  <c r="I100" i="29"/>
  <c r="H100" i="29"/>
  <c r="M99" i="29"/>
  <c r="N99" i="29" s="1"/>
  <c r="M98" i="29"/>
  <c r="K98" i="29"/>
  <c r="J98" i="29"/>
  <c r="I98" i="29"/>
  <c r="H98" i="29"/>
  <c r="L98" i="29"/>
  <c r="K96" i="29"/>
  <c r="J96" i="29"/>
  <c r="I96" i="29"/>
  <c r="H96" i="29"/>
  <c r="M94" i="29"/>
  <c r="K94" i="29"/>
  <c r="J94" i="29"/>
  <c r="I94" i="29"/>
  <c r="H94" i="29"/>
  <c r="L94" i="29"/>
  <c r="M92" i="29"/>
  <c r="K92" i="29"/>
  <c r="J92" i="29"/>
  <c r="I92" i="29"/>
  <c r="H92" i="29"/>
  <c r="L92" i="29"/>
  <c r="K89" i="29"/>
  <c r="J89" i="29"/>
  <c r="I89" i="29"/>
  <c r="H89" i="29"/>
  <c r="L89" i="29"/>
  <c r="M79" i="29"/>
  <c r="K79" i="29"/>
  <c r="J79" i="29"/>
  <c r="I79" i="29"/>
  <c r="H79" i="29"/>
  <c r="L79" i="29"/>
  <c r="M77" i="29"/>
  <c r="K77" i="29"/>
  <c r="J77" i="29"/>
  <c r="I77" i="29"/>
  <c r="L77" i="29"/>
  <c r="K75" i="29"/>
  <c r="J75" i="29"/>
  <c r="I75" i="29"/>
  <c r="H75" i="29"/>
  <c r="L74" i="29"/>
  <c r="M73" i="29"/>
  <c r="K73" i="29"/>
  <c r="J73" i="29"/>
  <c r="I73" i="29"/>
  <c r="H73" i="29"/>
  <c r="L73" i="29"/>
  <c r="M71" i="29"/>
  <c r="K71" i="29"/>
  <c r="J71" i="29"/>
  <c r="I71" i="29"/>
  <c r="H71" i="29"/>
  <c r="L71" i="29"/>
  <c r="K69" i="29"/>
  <c r="J69" i="29"/>
  <c r="I69" i="29"/>
  <c r="H69" i="29"/>
  <c r="K67" i="29"/>
  <c r="J67" i="29"/>
  <c r="I67" i="29"/>
  <c r="H67" i="29"/>
  <c r="M67" i="29"/>
  <c r="L67" i="29"/>
  <c r="L64" i="29"/>
  <c r="K64" i="29"/>
  <c r="J64" i="29"/>
  <c r="I64" i="29"/>
  <c r="H64" i="29"/>
  <c r="L62" i="29"/>
  <c r="K62" i="29"/>
  <c r="J62" i="29"/>
  <c r="I62" i="29"/>
  <c r="H62" i="29"/>
  <c r="M62" i="29"/>
  <c r="L60" i="29"/>
  <c r="K60" i="29"/>
  <c r="J60" i="29"/>
  <c r="I60" i="29"/>
  <c r="H60" i="29"/>
  <c r="L58" i="29"/>
  <c r="K58" i="29"/>
  <c r="J58" i="29"/>
  <c r="I58" i="29"/>
  <c r="H58" i="29"/>
  <c r="M58" i="29"/>
  <c r="K56" i="29"/>
  <c r="J56" i="29"/>
  <c r="I56" i="29"/>
  <c r="H56" i="29"/>
  <c r="L56" i="29" s="1"/>
  <c r="L54" i="29"/>
  <c r="K54" i="29"/>
  <c r="J54" i="29"/>
  <c r="I54" i="29"/>
  <c r="H54" i="29"/>
  <c r="M54" i="29"/>
  <c r="K52" i="29"/>
  <c r="J52" i="29"/>
  <c r="I52" i="29"/>
  <c r="H52" i="29"/>
  <c r="M51" i="29"/>
  <c r="L51" i="29"/>
  <c r="K50" i="29"/>
  <c r="J50" i="29"/>
  <c r="I50" i="29"/>
  <c r="H50" i="29"/>
  <c r="M50" i="29"/>
  <c r="L50" i="29"/>
  <c r="L48" i="29"/>
  <c r="K48" i="29"/>
  <c r="J48" i="29"/>
  <c r="I48" i="29"/>
  <c r="H48" i="29"/>
  <c r="L46" i="29"/>
  <c r="K46" i="29"/>
  <c r="J46" i="29"/>
  <c r="I46" i="29"/>
  <c r="H46" i="29"/>
  <c r="M46" i="29"/>
  <c r="L44" i="29"/>
  <c r="K44" i="29"/>
  <c r="J44" i="29"/>
  <c r="I44" i="29"/>
  <c r="H44" i="29"/>
  <c r="K42" i="29"/>
  <c r="J42" i="29"/>
  <c r="I42" i="29"/>
  <c r="H42" i="29"/>
  <c r="M42" i="29"/>
  <c r="L42" i="29"/>
  <c r="M38" i="29"/>
  <c r="K38" i="29"/>
  <c r="J38" i="29"/>
  <c r="I38" i="29"/>
  <c r="H38" i="29"/>
  <c r="L38" i="29"/>
  <c r="K35" i="29"/>
  <c r="J35" i="29"/>
  <c r="I35" i="29"/>
  <c r="H35" i="29"/>
  <c r="M33" i="29"/>
  <c r="K33" i="29"/>
  <c r="J33" i="29"/>
  <c r="I33" i="29"/>
  <c r="H33" i="29"/>
  <c r="L33" i="29"/>
  <c r="K31" i="29"/>
  <c r="J31" i="29"/>
  <c r="I31" i="29"/>
  <c r="H31" i="29"/>
  <c r="M31" i="29"/>
  <c r="L31" i="29"/>
  <c r="K29" i="29"/>
  <c r="J29" i="29"/>
  <c r="I29" i="29"/>
  <c r="H29" i="29"/>
  <c r="L29" i="29"/>
  <c r="K27" i="29"/>
  <c r="J27" i="29"/>
  <c r="I27" i="29"/>
  <c r="H27" i="29"/>
  <c r="M27" i="29"/>
  <c r="M25" i="29"/>
  <c r="K25" i="29"/>
  <c r="J25" i="29"/>
  <c r="I25" i="29"/>
  <c r="H25" i="29"/>
  <c r="L25" i="29"/>
  <c r="K23" i="29"/>
  <c r="J23" i="29"/>
  <c r="I23" i="29"/>
  <c r="H23" i="29"/>
  <c r="M21" i="29"/>
  <c r="K21" i="29"/>
  <c r="J21" i="29"/>
  <c r="I21" i="29"/>
  <c r="H21" i="29"/>
  <c r="L21" i="29"/>
  <c r="K19" i="29"/>
  <c r="J19" i="29"/>
  <c r="I19" i="29"/>
  <c r="H19" i="29"/>
  <c r="M19" i="29"/>
  <c r="L19" i="29"/>
  <c r="K17" i="29"/>
  <c r="J17" i="29"/>
  <c r="I17" i="29"/>
  <c r="H17" i="29"/>
  <c r="L17" i="29"/>
  <c r="K15" i="29"/>
  <c r="J15" i="29"/>
  <c r="J115" i="29" s="1"/>
  <c r="I15" i="29"/>
  <c r="H15" i="29"/>
  <c r="M15" i="29"/>
  <c r="L15" i="29"/>
  <c r="M13" i="29"/>
  <c r="K13" i="29"/>
  <c r="J13" i="29"/>
  <c r="I13" i="29"/>
  <c r="H13" i="29"/>
  <c r="L13" i="29"/>
  <c r="K11" i="29"/>
  <c r="J11" i="29"/>
  <c r="I11" i="29"/>
  <c r="H11" i="29"/>
  <c r="L10" i="29"/>
  <c r="J114" i="29" l="1"/>
  <c r="J113" i="29" s="1"/>
  <c r="N69" i="29"/>
  <c r="N110" i="29"/>
  <c r="N114" i="29" s="1"/>
  <c r="N15" i="29"/>
  <c r="N21" i="29"/>
  <c r="N27" i="29"/>
  <c r="N33" i="29"/>
  <c r="N71" i="29"/>
  <c r="N77" i="29"/>
  <c r="N89" i="29"/>
  <c r="N102" i="29"/>
  <c r="N107" i="29"/>
  <c r="L112" i="29"/>
  <c r="N42" i="29"/>
  <c r="H114" i="29"/>
  <c r="M10" i="29"/>
  <c r="M11" i="29" s="1"/>
  <c r="N54" i="29"/>
  <c r="N73" i="29"/>
  <c r="N79" i="29"/>
  <c r="N109" i="29"/>
  <c r="N121" i="29" s="1"/>
  <c r="L52" i="29"/>
  <c r="N51" i="29"/>
  <c r="K114" i="29"/>
  <c r="K113" i="29" s="1"/>
  <c r="N19" i="29"/>
  <c r="N31" i="29"/>
  <c r="N46" i="29"/>
  <c r="N67" i="29"/>
  <c r="N94" i="29"/>
  <c r="N58" i="29"/>
  <c r="I114" i="29"/>
  <c r="I113" i="29" s="1"/>
  <c r="N13" i="29"/>
  <c r="N38" i="29"/>
  <c r="N92" i="29"/>
  <c r="N98" i="29"/>
  <c r="N25" i="29"/>
  <c r="M74" i="29"/>
  <c r="N74" i="29" s="1"/>
  <c r="N104" i="29"/>
  <c r="N50" i="29"/>
  <c r="N62" i="29"/>
  <c r="N10" i="30"/>
  <c r="K115" i="29"/>
  <c r="H116" i="29"/>
  <c r="I115" i="29"/>
  <c r="J116" i="29"/>
  <c r="I116" i="29"/>
  <c r="M112" i="29"/>
  <c r="K116" i="29"/>
  <c r="L114" i="29"/>
  <c r="L115" i="29"/>
  <c r="M35" i="29"/>
  <c r="M115" i="29"/>
  <c r="M96" i="29"/>
  <c r="M100" i="29"/>
  <c r="M23" i="29"/>
  <c r="H115" i="29"/>
  <c r="L11" i="29"/>
  <c r="N11" i="29" s="1"/>
  <c r="M17" i="29"/>
  <c r="N17" i="29" s="1"/>
  <c r="L23" i="29"/>
  <c r="M29" i="29"/>
  <c r="N29" i="29" s="1"/>
  <c r="L35" i="29"/>
  <c r="M44" i="29"/>
  <c r="N44" i="29" s="1"/>
  <c r="M48" i="29"/>
  <c r="N48" i="29" s="1"/>
  <c r="M52" i="29"/>
  <c r="M56" i="29"/>
  <c r="N56" i="29" s="1"/>
  <c r="M60" i="29"/>
  <c r="N60" i="29" s="1"/>
  <c r="M64" i="29"/>
  <c r="L75" i="29"/>
  <c r="L96" i="29"/>
  <c r="L100" i="29"/>
  <c r="N100" i="29" s="1"/>
  <c r="L121" i="29"/>
  <c r="N111" i="29"/>
  <c r="N118" i="29" s="1"/>
  <c r="N52" i="29" l="1"/>
  <c r="M114" i="29"/>
  <c r="N23" i="29"/>
  <c r="M75" i="29"/>
  <c r="N75" i="29" s="1"/>
  <c r="N96" i="29"/>
  <c r="N35" i="29"/>
  <c r="N10" i="29"/>
  <c r="N116" i="29" s="1"/>
  <c r="N64" i="29"/>
  <c r="H113" i="29"/>
  <c r="M116" i="29"/>
  <c r="L116" i="29"/>
  <c r="N115" i="29"/>
  <c r="N112" i="29"/>
  <c r="L113" i="29" l="1"/>
  <c r="M113" i="29"/>
  <c r="N113" i="29"/>
  <c r="K60" i="27" l="1"/>
  <c r="J60" i="27"/>
  <c r="I60" i="27"/>
  <c r="H60" i="27"/>
  <c r="K59" i="27"/>
  <c r="J59" i="27"/>
  <c r="I59" i="27"/>
  <c r="H59" i="27"/>
  <c r="K58" i="27"/>
  <c r="K57" i="27" s="1"/>
  <c r="J58" i="27"/>
  <c r="J57" i="27" s="1"/>
  <c r="I58" i="27"/>
  <c r="I57" i="27" s="1"/>
  <c r="K56" i="27"/>
  <c r="J56" i="27"/>
  <c r="I56" i="27"/>
  <c r="H56" i="27"/>
  <c r="L55" i="27"/>
  <c r="M53" i="27"/>
  <c r="L53" i="27"/>
  <c r="K53" i="27"/>
  <c r="J53" i="27"/>
  <c r="I53" i="27"/>
  <c r="H53" i="27"/>
  <c r="N52" i="27"/>
  <c r="N51" i="27"/>
  <c r="N50" i="27"/>
  <c r="K49" i="27"/>
  <c r="J49" i="27"/>
  <c r="I49" i="27"/>
  <c r="H49" i="27"/>
  <c r="L48" i="27"/>
  <c r="L47" i="27"/>
  <c r="M47" i="27" s="1"/>
  <c r="L46" i="27"/>
  <c r="M46" i="27" s="1"/>
  <c r="K43" i="27"/>
  <c r="J43" i="27"/>
  <c r="I43" i="27"/>
  <c r="H43" i="27"/>
  <c r="M42" i="27"/>
  <c r="M43" i="27" s="1"/>
  <c r="L42" i="27"/>
  <c r="L43" i="27" s="1"/>
  <c r="K40" i="27"/>
  <c r="J40" i="27"/>
  <c r="I40" i="27"/>
  <c r="H40" i="27"/>
  <c r="M39" i="27"/>
  <c r="M40" i="27" s="1"/>
  <c r="L39" i="27"/>
  <c r="K37" i="27"/>
  <c r="J37" i="27"/>
  <c r="I37" i="27"/>
  <c r="H37" i="27"/>
  <c r="L36" i="27"/>
  <c r="K35" i="27"/>
  <c r="J35" i="27"/>
  <c r="I35" i="27"/>
  <c r="H35" i="27"/>
  <c r="L34" i="27"/>
  <c r="M34" i="27" s="1"/>
  <c r="L33" i="27"/>
  <c r="L32" i="27"/>
  <c r="M32" i="27" s="1"/>
  <c r="K31" i="27"/>
  <c r="J31" i="27"/>
  <c r="I31" i="27"/>
  <c r="H31" i="27"/>
  <c r="L30" i="27"/>
  <c r="K27" i="27"/>
  <c r="J27" i="27"/>
  <c r="I27" i="27"/>
  <c r="H27" i="27"/>
  <c r="M26" i="27"/>
  <c r="M27" i="27" s="1"/>
  <c r="L26" i="27"/>
  <c r="L27" i="27" s="1"/>
  <c r="K24" i="27"/>
  <c r="J24" i="27"/>
  <c r="I24" i="27"/>
  <c r="H24" i="27"/>
  <c r="L23" i="27"/>
  <c r="L22" i="27"/>
  <c r="K21" i="27"/>
  <c r="J21" i="27"/>
  <c r="I21" i="27"/>
  <c r="H21" i="27"/>
  <c r="L20" i="27"/>
  <c r="K19" i="27"/>
  <c r="J19" i="27"/>
  <c r="I19" i="27"/>
  <c r="H19" i="27"/>
  <c r="L18" i="27"/>
  <c r="K17" i="27"/>
  <c r="J17" i="27"/>
  <c r="I17" i="27"/>
  <c r="H17" i="27"/>
  <c r="L16" i="27"/>
  <c r="K15" i="27"/>
  <c r="J15" i="27"/>
  <c r="I15" i="27"/>
  <c r="H15" i="27"/>
  <c r="L14" i="27"/>
  <c r="M14" i="27" s="1"/>
  <c r="L13" i="27"/>
  <c r="M13" i="27" s="1"/>
  <c r="L12" i="27"/>
  <c r="K11" i="27"/>
  <c r="J11" i="27"/>
  <c r="I11" i="27"/>
  <c r="H11" i="27"/>
  <c r="L10" i="27"/>
  <c r="M10" i="27" s="1"/>
  <c r="N9" i="27"/>
  <c r="L8" i="27"/>
  <c r="H57" i="27" l="1"/>
  <c r="M18" i="27"/>
  <c r="L19" i="27"/>
  <c r="N18" i="27"/>
  <c r="N19" i="27" s="1"/>
  <c r="M22" i="27"/>
  <c r="L24" i="27"/>
  <c r="M33" i="27"/>
  <c r="N33" i="27"/>
  <c r="N39" i="27"/>
  <c r="L40" i="27"/>
  <c r="L11" i="27"/>
  <c r="M8" i="27"/>
  <c r="L31" i="27"/>
  <c r="M30" i="27"/>
  <c r="M31" i="27" s="1"/>
  <c r="N31" i="27" s="1"/>
  <c r="N40" i="27"/>
  <c r="M48" i="27"/>
  <c r="N14" i="27"/>
  <c r="N34" i="27"/>
  <c r="N22" i="27"/>
  <c r="L21" i="27"/>
  <c r="M20" i="27"/>
  <c r="M21" i="27" s="1"/>
  <c r="M23" i="27"/>
  <c r="N53" i="27"/>
  <c r="N43" i="27"/>
  <c r="L56" i="27"/>
  <c r="M55" i="27"/>
  <c r="M56" i="27" s="1"/>
  <c r="N56" i="27" s="1"/>
  <c r="L58" i="27"/>
  <c r="M12" i="27"/>
  <c r="M16" i="27"/>
  <c r="M17" i="27" s="1"/>
  <c r="L37" i="27"/>
  <c r="M36" i="27"/>
  <c r="M37" i="27" s="1"/>
  <c r="L49" i="27"/>
  <c r="L60" i="27"/>
  <c r="N46" i="27"/>
  <c r="N47" i="27"/>
  <c r="L35" i="27"/>
  <c r="M35" i="27"/>
  <c r="M59" i="27"/>
  <c r="L17" i="27"/>
  <c r="M15" i="27"/>
  <c r="L59" i="27"/>
  <c r="M11" i="27"/>
  <c r="N8" i="27"/>
  <c r="N10" i="27"/>
  <c r="N13" i="27"/>
  <c r="L15" i="27"/>
  <c r="M24" i="27"/>
  <c r="N26" i="27"/>
  <c r="N27" i="27" s="1"/>
  <c r="N32" i="27"/>
  <c r="N35" i="27" s="1"/>
  <c r="N36" i="27"/>
  <c r="N42" i="27"/>
  <c r="N55" i="27"/>
  <c r="N12" i="27"/>
  <c r="M19" i="27"/>
  <c r="N20" i="27"/>
  <c r="N21" i="27" s="1"/>
  <c r="N37" i="27" l="1"/>
  <c r="M58" i="27"/>
  <c r="M49" i="27"/>
  <c r="N48" i="27"/>
  <c r="N23" i="27"/>
  <c r="N24" i="27" s="1"/>
  <c r="N16" i="27"/>
  <c r="N17" i="27" s="1"/>
  <c r="M60" i="27"/>
  <c r="M57" i="27" s="1"/>
  <c r="N49" i="27"/>
  <c r="N30" i="27"/>
  <c r="N58" i="27" s="1"/>
  <c r="L57" i="27"/>
  <c r="N59" i="27"/>
  <c r="N11" i="27"/>
  <c r="N15" i="27"/>
  <c r="N60" i="27" l="1"/>
  <c r="N57" i="27"/>
  <c r="L102" i="5"/>
  <c r="L78" i="5"/>
  <c r="L79" i="5" s="1"/>
  <c r="L71" i="5"/>
  <c r="L68" i="5"/>
  <c r="L65" i="5"/>
  <c r="L63" i="5"/>
  <c r="M63" i="5" s="1"/>
  <c r="M64" i="5" s="1"/>
  <c r="L59" i="5"/>
  <c r="M59" i="5" s="1"/>
  <c r="M60" i="5" s="1"/>
  <c r="L57" i="5"/>
  <c r="L55" i="5"/>
  <c r="L53" i="5"/>
  <c r="M53" i="5" s="1"/>
  <c r="M54" i="5" s="1"/>
  <c r="L51" i="5"/>
  <c r="M51" i="5" s="1"/>
  <c r="L50" i="5"/>
  <c r="M50" i="5" s="1"/>
  <c r="L48" i="5"/>
  <c r="M48" i="5" s="1"/>
  <c r="L47" i="5"/>
  <c r="M47" i="5" s="1"/>
  <c r="L45" i="5"/>
  <c r="M45" i="5" s="1"/>
  <c r="L44" i="5"/>
  <c r="L42" i="5"/>
  <c r="M42" i="5" s="1"/>
  <c r="M43" i="5" s="1"/>
  <c r="L40" i="5"/>
  <c r="M40" i="5" s="1"/>
  <c r="L39" i="5"/>
  <c r="M39" i="5" s="1"/>
  <c r="L37" i="5"/>
  <c r="M37" i="5" s="1"/>
  <c r="M38" i="5" s="1"/>
  <c r="L35" i="5"/>
  <c r="L34" i="5"/>
  <c r="M34" i="5" s="1"/>
  <c r="L30" i="5"/>
  <c r="M30" i="5" s="1"/>
  <c r="L28" i="5"/>
  <c r="M28" i="5" s="1"/>
  <c r="M29" i="5" s="1"/>
  <c r="L26" i="5"/>
  <c r="L24" i="5"/>
  <c r="L22" i="5"/>
  <c r="M22" i="5" s="1"/>
  <c r="M23" i="5" s="1"/>
  <c r="L20" i="5"/>
  <c r="M20" i="5" s="1"/>
  <c r="M21" i="5" s="1"/>
  <c r="L18" i="5"/>
  <c r="M18" i="5" s="1"/>
  <c r="M19" i="5" s="1"/>
  <c r="L16" i="5"/>
  <c r="L12" i="5"/>
  <c r="L10" i="5"/>
  <c r="L8" i="5"/>
  <c r="L9" i="5" s="1"/>
  <c r="I79" i="5"/>
  <c r="N76" i="5"/>
  <c r="H79" i="5"/>
  <c r="I46" i="5"/>
  <c r="J46" i="5"/>
  <c r="K46" i="5"/>
  <c r="H46" i="5"/>
  <c r="H97" i="5"/>
  <c r="I103" i="5"/>
  <c r="J103" i="5"/>
  <c r="K103" i="5"/>
  <c r="H103" i="5"/>
  <c r="I101" i="5"/>
  <c r="J101" i="5"/>
  <c r="K101" i="5"/>
  <c r="L101" i="5"/>
  <c r="M101" i="5"/>
  <c r="H101" i="5"/>
  <c r="I97" i="5"/>
  <c r="J97" i="5"/>
  <c r="K97" i="5"/>
  <c r="L97" i="5"/>
  <c r="M97" i="5"/>
  <c r="I91" i="5"/>
  <c r="J91" i="5"/>
  <c r="K91" i="5"/>
  <c r="L91" i="5"/>
  <c r="M91" i="5"/>
  <c r="H91" i="5"/>
  <c r="I83" i="5"/>
  <c r="J83" i="5"/>
  <c r="K83" i="5"/>
  <c r="L83" i="5"/>
  <c r="M83" i="5"/>
  <c r="H83" i="5"/>
  <c r="I81" i="5"/>
  <c r="J81" i="5"/>
  <c r="K81" i="5"/>
  <c r="L81" i="5"/>
  <c r="M81" i="5"/>
  <c r="H81" i="5"/>
  <c r="J79" i="5"/>
  <c r="K79" i="5"/>
  <c r="I73" i="5"/>
  <c r="J73" i="5"/>
  <c r="K73" i="5"/>
  <c r="H73" i="5"/>
  <c r="I69" i="5"/>
  <c r="J69" i="5"/>
  <c r="K69" i="5"/>
  <c r="H69" i="5"/>
  <c r="I66" i="5"/>
  <c r="J66" i="5"/>
  <c r="K66" i="5"/>
  <c r="H66" i="5"/>
  <c r="I64" i="5"/>
  <c r="J64" i="5"/>
  <c r="K64" i="5"/>
  <c r="H64" i="5"/>
  <c r="I60" i="5"/>
  <c r="J60" i="5"/>
  <c r="K60" i="5"/>
  <c r="H60" i="5"/>
  <c r="I58" i="5"/>
  <c r="J58" i="5"/>
  <c r="K58" i="5"/>
  <c r="H58" i="5"/>
  <c r="I56" i="5"/>
  <c r="J56" i="5"/>
  <c r="K56" i="5"/>
  <c r="H56" i="5"/>
  <c r="I54" i="5"/>
  <c r="J54" i="5"/>
  <c r="K54" i="5"/>
  <c r="H54" i="5"/>
  <c r="I52" i="5"/>
  <c r="J52" i="5"/>
  <c r="K52" i="5"/>
  <c r="H52" i="5"/>
  <c r="I49" i="5"/>
  <c r="J49" i="5"/>
  <c r="K49" i="5"/>
  <c r="H49" i="5"/>
  <c r="I43" i="5"/>
  <c r="J43" i="5"/>
  <c r="K43" i="5"/>
  <c r="H43" i="5"/>
  <c r="I41" i="5"/>
  <c r="J41" i="5"/>
  <c r="K41" i="5"/>
  <c r="H41" i="5"/>
  <c r="I38" i="5"/>
  <c r="J38" i="5"/>
  <c r="K38" i="5"/>
  <c r="H38" i="5"/>
  <c r="I36" i="5"/>
  <c r="J36" i="5"/>
  <c r="K36" i="5"/>
  <c r="H36" i="5"/>
  <c r="I32" i="5"/>
  <c r="J32" i="5"/>
  <c r="K32" i="5"/>
  <c r="L32" i="5"/>
  <c r="M32" i="5"/>
  <c r="H32" i="5"/>
  <c r="I29" i="5"/>
  <c r="J29" i="5"/>
  <c r="K29" i="5"/>
  <c r="H29" i="5"/>
  <c r="I27" i="5"/>
  <c r="J27" i="5"/>
  <c r="K27" i="5"/>
  <c r="H27" i="5"/>
  <c r="I25" i="5"/>
  <c r="J25" i="5"/>
  <c r="K25" i="5"/>
  <c r="H25" i="5"/>
  <c r="I23" i="5"/>
  <c r="J23" i="5"/>
  <c r="K23" i="5"/>
  <c r="H23" i="5"/>
  <c r="I21" i="5"/>
  <c r="J21" i="5"/>
  <c r="K21" i="5"/>
  <c r="H21" i="5"/>
  <c r="I19" i="5"/>
  <c r="J19" i="5"/>
  <c r="K19" i="5"/>
  <c r="H19" i="5"/>
  <c r="I17" i="5"/>
  <c r="J17" i="5"/>
  <c r="K17" i="5"/>
  <c r="H17" i="5"/>
  <c r="I15" i="5"/>
  <c r="J15" i="5"/>
  <c r="K15" i="5"/>
  <c r="L15" i="5"/>
  <c r="M15" i="5"/>
  <c r="H15" i="5"/>
  <c r="I13" i="5"/>
  <c r="J13" i="5"/>
  <c r="K13" i="5"/>
  <c r="H13" i="5"/>
  <c r="I11" i="5"/>
  <c r="J11" i="5"/>
  <c r="K11" i="5"/>
  <c r="H11" i="5"/>
  <c r="I9" i="5"/>
  <c r="J9" i="5"/>
  <c r="K9" i="5"/>
  <c r="H9" i="5"/>
  <c r="I107" i="5"/>
  <c r="J107" i="5"/>
  <c r="K107" i="5"/>
  <c r="H107" i="5"/>
  <c r="C8" i="26" s="1"/>
  <c r="N94" i="5"/>
  <c r="N97" i="5" s="1"/>
  <c r="N90" i="5"/>
  <c r="N89" i="5"/>
  <c r="N82" i="5"/>
  <c r="N83" i="5" s="1"/>
  <c r="N80" i="5"/>
  <c r="N81" i="5" s="1"/>
  <c r="L60" i="5" l="1"/>
  <c r="L41" i="5"/>
  <c r="L64" i="5"/>
  <c r="L54" i="5"/>
  <c r="C7" i="26"/>
  <c r="L29" i="5"/>
  <c r="L38" i="5"/>
  <c r="L43" i="5"/>
  <c r="L21" i="5"/>
  <c r="M41" i="5"/>
  <c r="M8" i="5"/>
  <c r="M9" i="5" s="1"/>
  <c r="L23" i="5"/>
  <c r="L52" i="5"/>
  <c r="M49" i="5"/>
  <c r="M52" i="5"/>
  <c r="L27" i="5"/>
  <c r="M26" i="5"/>
  <c r="M27" i="5" s="1"/>
  <c r="L36" i="5"/>
  <c r="M35" i="5"/>
  <c r="M36" i="5" s="1"/>
  <c r="L56" i="5"/>
  <c r="M55" i="5"/>
  <c r="M56" i="5" s="1"/>
  <c r="L66" i="5"/>
  <c r="M65" i="5"/>
  <c r="M66" i="5" s="1"/>
  <c r="L11" i="5"/>
  <c r="M10" i="5"/>
  <c r="M11" i="5" s="1"/>
  <c r="L46" i="5"/>
  <c r="M44" i="5"/>
  <c r="M46" i="5" s="1"/>
  <c r="L58" i="5"/>
  <c r="M57" i="5"/>
  <c r="M58" i="5" s="1"/>
  <c r="L69" i="5"/>
  <c r="M68" i="5"/>
  <c r="M69" i="5" s="1"/>
  <c r="L103" i="5"/>
  <c r="M102" i="5"/>
  <c r="M103" i="5" s="1"/>
  <c r="L19" i="5"/>
  <c r="L49" i="5"/>
  <c r="L13" i="5"/>
  <c r="M12" i="5"/>
  <c r="M13" i="5" s="1"/>
  <c r="L73" i="5"/>
  <c r="M71" i="5"/>
  <c r="M73" i="5" s="1"/>
  <c r="L17" i="5"/>
  <c r="M16" i="5"/>
  <c r="M17" i="5" s="1"/>
  <c r="L25" i="5"/>
  <c r="M24" i="5"/>
  <c r="M25" i="5" s="1"/>
  <c r="M78" i="5"/>
  <c r="M79" i="5" s="1"/>
  <c r="N79" i="5" s="1"/>
  <c r="M107" i="5"/>
  <c r="E8" i="26" s="1"/>
  <c r="L107" i="5"/>
  <c r="D8" i="26" s="1"/>
  <c r="M106" i="5"/>
  <c r="E9" i="26" s="1"/>
  <c r="L106" i="5"/>
  <c r="D9" i="26" s="1"/>
  <c r="I106" i="5"/>
  <c r="H106" i="5"/>
  <c r="C9" i="26" s="1"/>
  <c r="K106" i="5"/>
  <c r="J106" i="5"/>
  <c r="K105" i="5"/>
  <c r="J105" i="5"/>
  <c r="I105" i="5"/>
  <c r="N91" i="5"/>
  <c r="N77" i="5"/>
  <c r="N112" i="5" s="1"/>
  <c r="M112" i="5"/>
  <c r="E12" i="26" s="1"/>
  <c r="L110" i="5"/>
  <c r="D13" i="26" s="1"/>
  <c r="N70" i="5"/>
  <c r="I110" i="5"/>
  <c r="J110" i="5"/>
  <c r="K110" i="5"/>
  <c r="I111" i="5"/>
  <c r="J111" i="5"/>
  <c r="K111" i="5"/>
  <c r="I112" i="5"/>
  <c r="J112" i="5"/>
  <c r="K112" i="5"/>
  <c r="N42" i="5"/>
  <c r="H110" i="5"/>
  <c r="C13" i="26" s="1"/>
  <c r="H111" i="5"/>
  <c r="C10" i="26" s="1"/>
  <c r="C12" i="26"/>
  <c r="N37" i="5"/>
  <c r="N39" i="5"/>
  <c r="L105" i="5" l="1"/>
  <c r="M105" i="5"/>
  <c r="E7" i="26" s="1"/>
  <c r="D7" i="26"/>
  <c r="N46" i="5"/>
  <c r="N78" i="5"/>
  <c r="N71" i="5"/>
  <c r="N17" i="5"/>
  <c r="L111" i="5"/>
  <c r="D10" i="26" s="1"/>
  <c r="N29" i="5"/>
  <c r="N53" i="5"/>
  <c r="N25" i="5"/>
  <c r="N26" i="5"/>
  <c r="N24" i="5"/>
  <c r="N44" i="5"/>
  <c r="N102" i="5"/>
  <c r="N65" i="5"/>
  <c r="N34" i="5"/>
  <c r="N40" i="5"/>
  <c r="N41" i="5"/>
  <c r="J104" i="5"/>
  <c r="N58" i="5"/>
  <c r="N35" i="5"/>
  <c r="N50" i="5"/>
  <c r="N68" i="5"/>
  <c r="N69" i="5" s="1"/>
  <c r="M110" i="5"/>
  <c r="E13" i="26" s="1"/>
  <c r="N100" i="5"/>
  <c r="N51" i="5"/>
  <c r="N59" i="5"/>
  <c r="N10" i="5"/>
  <c r="N66" i="5"/>
  <c r="I104" i="5"/>
  <c r="K104" i="5"/>
  <c r="N28" i="5"/>
  <c r="H104" i="5"/>
  <c r="N54" i="5"/>
  <c r="N72" i="5"/>
  <c r="N110" i="5" s="1"/>
  <c r="N43" i="5"/>
  <c r="N13" i="5"/>
  <c r="N27" i="5"/>
  <c r="N60" i="5"/>
  <c r="N101" i="5"/>
  <c r="N16" i="5"/>
  <c r="N103" i="5"/>
  <c r="N57" i="5"/>
  <c r="N56" i="5"/>
  <c r="N21" i="5"/>
  <c r="N12" i="5"/>
  <c r="N9" i="5"/>
  <c r="N8" i="5"/>
  <c r="N32" i="5"/>
  <c r="N30" i="5"/>
  <c r="N63" i="5"/>
  <c r="N22" i="5"/>
  <c r="N20" i="5"/>
  <c r="N18" i="5"/>
  <c r="N47" i="5"/>
  <c r="L112" i="5"/>
  <c r="D12" i="26" s="1"/>
  <c r="N64" i="5"/>
  <c r="N11" i="5"/>
  <c r="N55" i="5"/>
  <c r="N38" i="5"/>
  <c r="N48" i="5"/>
  <c r="M111" i="5"/>
  <c r="E10" i="26" s="1"/>
  <c r="N107" i="5" l="1"/>
  <c r="N73" i="5"/>
  <c r="N36" i="5"/>
  <c r="N19" i="5"/>
  <c r="M104" i="5"/>
  <c r="N52" i="5"/>
  <c r="N23" i="5"/>
  <c r="N105" i="5" s="1"/>
  <c r="N49" i="5"/>
  <c r="C15" i="26"/>
  <c r="C16" i="26"/>
  <c r="N111" i="5"/>
  <c r="L104" i="5"/>
  <c r="N14" i="5"/>
  <c r="N15" i="5" s="1"/>
  <c r="N106" i="5" l="1"/>
  <c r="N104" i="5" s="1"/>
  <c r="D16" i="26"/>
  <c r="D15" i="26"/>
  <c r="E15" i="26"/>
  <c r="E16" i="26"/>
  <c r="C17" i="26"/>
  <c r="D17" i="26" l="1"/>
  <c r="E17" i="26"/>
</calcChain>
</file>

<file path=xl/sharedStrings.xml><?xml version="1.0" encoding="utf-8"?>
<sst xmlns="http://schemas.openxmlformats.org/spreadsheetml/2006/main" count="2319" uniqueCount="576">
  <si>
    <t>PATVIRTINTA</t>
  </si>
  <si>
    <t>Šalčininkų rajono savivaldybės tarybos</t>
  </si>
  <si>
    <t>tūkst. Eur</t>
  </si>
  <si>
    <r>
      <t xml:space="preserve">Savivaldybės biudžeto lėšos </t>
    </r>
    <r>
      <rPr>
        <b/>
        <sz val="9"/>
        <color indexed="8"/>
        <rFont val="Times New Roman"/>
        <family val="1"/>
        <charset val="186"/>
      </rPr>
      <t>SB</t>
    </r>
  </si>
  <si>
    <r>
      <t xml:space="preserve">Valstybės biudžeto specialiosios tikslinės dotacijos lėšos </t>
    </r>
    <r>
      <rPr>
        <b/>
        <sz val="9"/>
        <color indexed="8"/>
        <rFont val="Times New Roman"/>
        <family val="1"/>
        <charset val="186"/>
      </rPr>
      <t>SB (VB)</t>
    </r>
  </si>
  <si>
    <r>
      <t>Savivaldybės biudžeto lėšos specialios programos</t>
    </r>
    <r>
      <rPr>
        <b/>
        <sz val="9"/>
        <color indexed="8"/>
        <rFont val="Times New Roman"/>
        <family val="1"/>
        <charset val="186"/>
      </rPr>
      <t>SB (SP)</t>
    </r>
  </si>
  <si>
    <r>
      <t xml:space="preserve">Europos Sąjungos paramos lėšos </t>
    </r>
    <r>
      <rPr>
        <b/>
        <sz val="9"/>
        <color indexed="8"/>
        <rFont val="Times New Roman"/>
        <family val="1"/>
        <charset val="186"/>
      </rPr>
      <t>ES</t>
    </r>
  </si>
  <si>
    <r>
      <t xml:space="preserve">Valstybės biudžeto lėšos </t>
    </r>
    <r>
      <rPr>
        <b/>
        <sz val="9"/>
        <color indexed="8"/>
        <rFont val="Times New Roman"/>
        <family val="1"/>
        <charset val="186"/>
      </rPr>
      <t>VB(P)</t>
    </r>
  </si>
  <si>
    <t>Dotacijos</t>
  </si>
  <si>
    <r>
      <t xml:space="preserve">Kiti finansavimo šaltiniai </t>
    </r>
    <r>
      <rPr>
        <b/>
        <sz val="9"/>
        <color indexed="8"/>
        <rFont val="Times New Roman"/>
        <family val="1"/>
        <charset val="186"/>
      </rPr>
      <t>Kitos</t>
    </r>
  </si>
  <si>
    <t>Biudžetas</t>
  </si>
  <si>
    <t>Dotacijos ir projektai</t>
  </si>
  <si>
    <t>bendras</t>
  </si>
  <si>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</si>
  <si>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</si>
  <si>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</si>
  <si>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</si>
  <si>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</si>
  <si>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</si>
  <si>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Finansavimo šaltinis</t>
  </si>
  <si>
    <t>2023 metų išlaidos</t>
  </si>
  <si>
    <t>2024 metų išlaidų projektas</t>
  </si>
  <si>
    <t>2025 metų išlaidų projektas</t>
  </si>
  <si>
    <t>Iš viso</t>
  </si>
  <si>
    <t>Matavimo rodiklis</t>
  </si>
  <si>
    <t>Atsakingas skyrius</t>
  </si>
  <si>
    <t>Išlaidoms</t>
  </si>
  <si>
    <t>Rodiklio reikšmės</t>
  </si>
  <si>
    <t>Iš jų darbo užmokesčiui</t>
  </si>
  <si>
    <t>turtui įsigyti ir finansiniams įsipareigojimams vykdyti</t>
  </si>
  <si>
    <t>Rodiklio pavadinimas</t>
  </si>
  <si>
    <t>Matavimo vnt.</t>
  </si>
  <si>
    <t>2023 m.</t>
  </si>
  <si>
    <t>2024 m.</t>
  </si>
  <si>
    <t>2025 m.</t>
  </si>
  <si>
    <t>01 Viešojo administravimo institucijų ir įstaigų vidaus administravimo tobulinimo programa</t>
  </si>
  <si>
    <t>01</t>
  </si>
  <si>
    <t>Efektyviai organizuoti savivaldybės darbą, tinkamai įgyvendinti jos funkcijas</t>
  </si>
  <si>
    <t>Savarankiškųjų savivaldybės funkcijų vykdymas (1.1.1.1.)</t>
  </si>
  <si>
    <t>Tarybos darbo organizavimas</t>
  </si>
  <si>
    <t>SB</t>
  </si>
  <si>
    <t>Vidutinis mėnesinis darbuotojo darbo užmokestis</t>
  </si>
  <si>
    <t>Eur./mėn.</t>
  </si>
  <si>
    <t>Bendrasis sk.</t>
  </si>
  <si>
    <t>Savivaldybės tarybos narių skaičius</t>
  </si>
  <si>
    <t>asm.</t>
  </si>
  <si>
    <t>02</t>
  </si>
  <si>
    <t>Savivaldybės administracijos darbo organizavimas</t>
  </si>
  <si>
    <t xml:space="preserve">Juridinio ir personalo skyrius </t>
  </si>
  <si>
    <t>Savivaldybės administracijoje užimtų pareigybių skaičius (sausio 01 d.)</t>
  </si>
  <si>
    <t>03</t>
  </si>
  <si>
    <t>Seniūnijų darbo organizavimas</t>
  </si>
  <si>
    <t xml:space="preserve">juridinis ir personalo skyrius </t>
  </si>
  <si>
    <t>SB(SP)</t>
  </si>
  <si>
    <t>Seniūnijose užimtų pareigybių skaičius (sausio 01 d.)</t>
  </si>
  <si>
    <t>04</t>
  </si>
  <si>
    <t>Kontrolės ir audito tarnybos darbo organizavimas</t>
  </si>
  <si>
    <t xml:space="preserve">juridinio ir personalo skyrius </t>
  </si>
  <si>
    <t>Komntrolės ir audito tarnyboje užimtų pareigybių skaičius (sausio 01 d.)</t>
  </si>
  <si>
    <t>07</t>
  </si>
  <si>
    <t>Ilgalaikio turto nuomos išlaidų kompensavimas</t>
  </si>
  <si>
    <t>Nuomuojamų ilgalaikio turto objektų skaičius</t>
  </si>
  <si>
    <t>vnt.</t>
  </si>
  <si>
    <t xml:space="preserve"> Turto valdymo sk.</t>
  </si>
  <si>
    <t>Nuomuojamų ilgalaikio turto patalpų plotas</t>
  </si>
  <si>
    <r>
      <t>m</t>
    </r>
    <r>
      <rPr>
        <i/>
        <vertAlign val="superscript"/>
        <sz val="10"/>
        <color rgb="FF000000"/>
        <rFont val="Times New Roman"/>
        <family val="1"/>
      </rPr>
      <t>2</t>
    </r>
  </si>
  <si>
    <t>08</t>
  </si>
  <si>
    <t>Savivaldybės nuosavybėn priskirto ir perduodamo turto techninės inventarizacijos atlikimas arba patikslinimas</t>
  </si>
  <si>
    <t>Atliktų turto, žemės sklypų techninės inventorizacijos ir patikslinimų skaičius</t>
  </si>
  <si>
    <t xml:space="preserve">Komūnalinio ūkio sk. </t>
  </si>
  <si>
    <t>10</t>
  </si>
  <si>
    <t>Administracijos direktoriaus rezervas</t>
  </si>
  <si>
    <t>Panaudota rezervo lėšų dalis</t>
  </si>
  <si>
    <t>proc.</t>
  </si>
  <si>
    <t>Apskaitos skyrius</t>
  </si>
  <si>
    <t>11</t>
  </si>
  <si>
    <t>Reprezentacijos išlaidos</t>
  </si>
  <si>
    <t>Priimtų užsienio delegacijų skaičius</t>
  </si>
  <si>
    <t>Informacijos, kultūros ir turizmo skyrius</t>
  </si>
  <si>
    <t>Su savivadybės atributika parengtų viešinimo priemonių skaičius</t>
  </si>
  <si>
    <t>12</t>
  </si>
  <si>
    <t>Jaunimo programų įgyvendinimas</t>
  </si>
  <si>
    <t xml:space="preserve">Paramą gavusių projektų skaičius </t>
  </si>
  <si>
    <t>Jaunimo koordinatorius</t>
  </si>
  <si>
    <t>13</t>
  </si>
  <si>
    <t>Mero fondas</t>
  </si>
  <si>
    <t>Panaudota fondo lėšų dalis</t>
  </si>
  <si>
    <t>15</t>
  </si>
  <si>
    <t>Nekilnojamojo turto teisinė registracija, turto vertintojų paslaugos bei pastatų energinio naudingumo sertifikavimo paslaugos</t>
  </si>
  <si>
    <t>Įregistruotų nekilnojamo turto objektų skaičius</t>
  </si>
  <si>
    <t xml:space="preserve">Turto valdymo skyrius </t>
  </si>
  <si>
    <t>Įvertintų pastatų skaičius</t>
  </si>
  <si>
    <t>Atliktų pastatų energetinio naudingumo sertifikavimų skaičius</t>
  </si>
  <si>
    <t>Valstybinių (valstybės perduotų savivaldybėms) funkcijų tinkamas įgyvendinimas (1.1.1.2.)</t>
  </si>
  <si>
    <t>Civilinės būklės aktų registravimas</t>
  </si>
  <si>
    <t>SB(VB)</t>
  </si>
  <si>
    <t>Įregistruotų civilinės būiklės aktų skaičius</t>
  </si>
  <si>
    <t>Civilinės metrikacijos sk.</t>
  </si>
  <si>
    <t>Valstybės pagalbos registro tvarkymas</t>
  </si>
  <si>
    <t>Perduotų įrašų skaičius</t>
  </si>
  <si>
    <t>Juridinis ir personalo sk.</t>
  </si>
  <si>
    <t>Archyvų tvarkymas</t>
  </si>
  <si>
    <t>Archyve saugomų bylų skaičius</t>
  </si>
  <si>
    <t>m.</t>
  </si>
  <si>
    <t>Centriniam archyvui perduotų bylų skaičius</t>
  </si>
  <si>
    <t>Gyventojų registro tvarkymas ir duomenų pateikimas valstybės registrui</t>
  </si>
  <si>
    <t>Elektroniniu būdu VĮ „Registrų centras“ perduotų dokumentų skaičius</t>
  </si>
  <si>
    <t>06</t>
  </si>
  <si>
    <t>Jaunimo teisių apsauga</t>
  </si>
  <si>
    <t>Su jaunimu dirbančių užimtų pareigybių skaičius</t>
  </si>
  <si>
    <t>Valstybinės kalbos vartojimo ir taisyklingumo kontrolė</t>
  </si>
  <si>
    <t>Valstybinės kalbos vartojimo ir taisyklingumo kontrolės procedūrų skaičius</t>
  </si>
  <si>
    <t>Valstybės garantuojamos pirminės teisinės pagalbos teikimas</t>
  </si>
  <si>
    <t>Gyventojų skaičius, kuriems suteikta pirminė teisinė pagalba</t>
  </si>
  <si>
    <t>09</t>
  </si>
  <si>
    <t>Gyvenamosios vietos deklaravimo duomenų ir gyvenamosios vietos neturinčių asmenų apskaitos duomenų tvarkymas</t>
  </si>
  <si>
    <t>Aptarnautų interesantų dalis</t>
  </si>
  <si>
    <t>seniūnijos</t>
  </si>
  <si>
    <t>Mobilizacijos administravimas</t>
  </si>
  <si>
    <t>Mobilizacijos administravimo srityje užimtų pareigybių skaičius</t>
  </si>
  <si>
    <t>Dalyvavimas organizuojant įstatymų numatytus rinkimus ir referendumus</t>
  </si>
  <si>
    <t>Suorganizuotų rinkimų ir referendumų skaičius</t>
  </si>
  <si>
    <t>Bendrasis skyrius</t>
  </si>
  <si>
    <t>Savivaldybei priskirtai valstybinei žemei ir kitam valstybiniam turtui valdyti naudoti ir disponuoti juo patikėjimo teise</t>
  </si>
  <si>
    <t>Parengti dokumentai dėl valstybinės žemės sklypų perdavimo ir įregistravimo patikėjimo teise</t>
  </si>
  <si>
    <t>proj.</t>
  </si>
  <si>
    <t xml:space="preserve">Statybos ir architektūros sk. </t>
  </si>
  <si>
    <t>???</t>
  </si>
  <si>
    <t>Vykdyti prisiimtus finansinius įsipareigojimus</t>
  </si>
  <si>
    <t>Užtikrinti paskolų, palūkanų ir bendrosios dotacijos kompensacijos grąžinimą (1.1.2.1.)</t>
  </si>
  <si>
    <t>Palūkanų mokėjimas</t>
  </si>
  <si>
    <t>Aptarnaujamų sutarčių skaičius</t>
  </si>
  <si>
    <t>Biudžeto ir finansų sk.</t>
  </si>
  <si>
    <t>Paskolų grąžinimas</t>
  </si>
  <si>
    <t>Pasirašytų paskolos sutarčių skaičius</t>
  </si>
  <si>
    <t>Pritraukti finansavimo šaltinius svarbiems rajono vystymo projektams (1.1.2.2.)</t>
  </si>
  <si>
    <t>Paraiškų, siekiant gauti ES ir kitų finansinių institucijų lėšas, rengimas</t>
  </si>
  <si>
    <t>Patvirtintų paramos paraiškų skaičius</t>
  </si>
  <si>
    <t>Investicijų ir strateginio planavimo sk.</t>
  </si>
  <si>
    <t>Dokumentų, parengtų siekiant gauti ES ir kitų fin. inst. lėšas, skaičius</t>
  </si>
  <si>
    <t xml:space="preserve">Leader metodo priemonių įgyvendinimo administravimas </t>
  </si>
  <si>
    <t>ES</t>
  </si>
  <si>
    <t>Savivaldybės administracijos  administruojamų projektų skaičius</t>
  </si>
  <si>
    <t xml:space="preserve">Investicijų ir strateginio planavimo sk. </t>
  </si>
  <si>
    <t>Kitos</t>
  </si>
  <si>
    <t>Didinti savivaldybės veilos efektyvumą, skaidrumą, atsakomybę, sprendimų priėmimo kokybę ir vadybinę kompetenciją</t>
  </si>
  <si>
    <t>Užtikrinti Savivaldybės veiklos skaidrumą ir efektyvų gyventojų aptarnavimą (1.1.3.1.)</t>
  </si>
  <si>
    <t>Projekto "Paslaugų ir asmenų aptarnavimo kokybės gerinimas Šalčininkų rajono savivaldybėjė" įgyvendinimas</t>
  </si>
  <si>
    <t>Įdiegtų programų, padedančių aptarnauti klientus, skaičius</t>
  </si>
  <si>
    <t>D</t>
  </si>
  <si>
    <t>Administracinės naštos mažinimo priemonių įgyvendinimas ir stebėsena</t>
  </si>
  <si>
    <t xml:space="preserve">Adm. naštos mažinimo priemonių plano atnaujinimas </t>
  </si>
  <si>
    <t>Vidaus auditorius</t>
  </si>
  <si>
    <t>Adm. naštos mažinimo priemonių plano gyvendinimo ataskaitos parengimas</t>
  </si>
  <si>
    <t>Lyčių lygybės ir lygių galimybių nuostatų įgyvendinimas ir stebėsena</t>
  </si>
  <si>
    <t>Lyčių lygybės ir lygių galimybių plano parengimas</t>
  </si>
  <si>
    <t xml:space="preserve">Socialinės paramos ir sveikatos skyrius </t>
  </si>
  <si>
    <t>Šalčininkų rajono savivaldybės skaitmeninės kapinių duomenų bazės sukūrimas, laidojimo viešųjų paslaugų gerinimas.</t>
  </si>
  <si>
    <t>Skaitmenizuotų kapinių skaičius</t>
  </si>
  <si>
    <t>Tobulinti savivaldybės institucijų ir įstaigų darbuotojų kvalifikaciją (1.1.3.2.)</t>
  </si>
  <si>
    <t>Mokymai savivaldybės institucijų ir įstaigų darbuotojams</t>
  </si>
  <si>
    <t xml:space="preserve">Savivaldybės darbuotojų, per metus tobulinusių kvalifikaciją, dalis </t>
  </si>
  <si>
    <t>Juridinio ir personalo skyrius</t>
  </si>
  <si>
    <t>Plėtoti informacinių technologijų taikymą savivaldybėje</t>
  </si>
  <si>
    <t>Specializuotų kompiuterinių programų įsisgijimas ir kompiuterių atnaujinimas (1.1.4.1.)</t>
  </si>
  <si>
    <t>Kompiuterinės ir programinės įrangos aptarnavimas ir atnaujimas</t>
  </si>
  <si>
    <t>Naudojamų mokamų programinės įrangos licencijų skaičius</t>
  </si>
  <si>
    <t xml:space="preserve">Bendrasis skyrius </t>
  </si>
  <si>
    <t>Įsigytos kompiuterinės, organizacinės technikos skaičius</t>
  </si>
  <si>
    <t>05</t>
  </si>
  <si>
    <t>Plėtoti ryšius su visuomene ir skatinti tarptautinį bendradarbiavimą</t>
  </si>
  <si>
    <t>Esamų ryšių su visuomene ir užsienio partneriais palaikymas ir naujų užmezgimas (1.1.5.1.)</t>
  </si>
  <si>
    <t>Ryšių su visuomene plėtojimas</t>
  </si>
  <si>
    <t>Savivaldybės "YouTube" kanale patalpintų video skaičius</t>
  </si>
  <si>
    <t>Svetainei „www.salcininkai.lt“ parengtų straipsnių skaičius</t>
  </si>
  <si>
    <t>Savivaldybės dalyvavimas asocijuotų tarptautinių ir Lietuvos organizacijų veikloje</t>
  </si>
  <si>
    <t>Asociacijuotų organizacijų, kurių narė yra savivaldybė, skaičius (LSA, VVG ir t.t.)</t>
  </si>
  <si>
    <t>Iš viso iš jų:</t>
  </si>
  <si>
    <t>VB(P)</t>
  </si>
  <si>
    <t>P(FM)</t>
  </si>
  <si>
    <t>Naujos priemonės</t>
  </si>
  <si>
    <t>02 Švietimo, sporto ir jaunimo reikalų programa</t>
  </si>
  <si>
    <t>Užtikrinti švietimo įstaigų prieinamumą, efektyvumą, ugdymo kokybę</t>
  </si>
  <si>
    <t>Ugdymo planų ir programų įgyvendinimas, ugdymo(si) sąlygų užtikrinimas (2.1.1.1.)</t>
  </si>
  <si>
    <t>Ugdymo planų ir ugdymo sąlygų užtikrinimas ikimokyklinio ugdymo įstaigose</t>
  </si>
  <si>
    <t>291408750,   191408945, 191409132, 291410630, 191409285, 191409470, 191410444, 191409666, 191410597, 191409328, 195006449</t>
  </si>
  <si>
    <t>Ikimokyklinio ugdymo įstaigų skaičius</t>
  </si>
  <si>
    <t>Švietimo ir sporto sk.</t>
  </si>
  <si>
    <t>Vaikų, ugdomų ikimokyklinio ugdymo įstaigose, skaičius</t>
  </si>
  <si>
    <t>Ugdymo planų ir ugdymo sąlygų užtikrinimas rajono bendrojo lavinimo mokyklose</t>
  </si>
  <si>
    <t>29141510, 191415562, 191416326, 19147047, 191416664, 291416850, 191414994, 291414080, 191414318, 191414460, 191414656, 191415039, 191413892, 191416479, 190986355, 191415758, 191415943, 291417190, 191651922, 191416511, 191416098, 191416283,</t>
  </si>
  <si>
    <t>Ugdymo įstaigų skaičius</t>
  </si>
  <si>
    <t>Mokinių, ugdomų pagal pagrindinio ugdymo programą, skaičius</t>
  </si>
  <si>
    <t>Mokinių, ugdomų pagal viduriniojo ugdymo programą, skaičius</t>
  </si>
  <si>
    <t>Brandos egzaminų ir pagrindinio ugdymo pasiekimų organizavimas ir vykdymas</t>
  </si>
  <si>
    <t>Įstaigų, kuriose organziuojami brandos egzaminai ir pagrindinio ugdymo pasiekimų vertinimas, skaičius</t>
  </si>
  <si>
    <t>Mokinių pavėžėjimo į mokyklą ir atgal visuomeniniu ir mokykliniu transportu užtikrinimas</t>
  </si>
  <si>
    <t>191415758, 191416283, 191416098, 191415943, 191415562, 291415410, 191416326, 191416511, 191416479, 191651922, 291417190, 191416664, 291416850, 191413554, 191414994, 191414122, 291414080, 191417047,  191415039, 191414460, 191414656, 191417385, 191417232, 190986355, 175012366, 188718713,</t>
  </si>
  <si>
    <t>Mokinių, pavežamų į mokyklą ir atgal visuomeniniu transportu skaičius</t>
  </si>
  <si>
    <t>Mokinių, pavežamų į mokyklą ir atgal mokykliniu transportu skaičius</t>
  </si>
  <si>
    <t>Ilgalaikio turto nuomos kompensavimas švietimo įstaigoms</t>
  </si>
  <si>
    <t>191415943 291417190, 191415758, 191416098, 191416326, 191651922, 291416850, 191416479, 191416664, 291415410</t>
  </si>
  <si>
    <t>Švietimo įstaigų, kurioms kompensuojama ilgalaikio turto nuoma, skaičius</t>
  </si>
  <si>
    <t>Švietimo įstaigų apskaitos sk.</t>
  </si>
  <si>
    <t>Pedagoginių darbuotojų tarifinių atlygių koeficientų skirtumų išlyginimas mokyklose</t>
  </si>
  <si>
    <t>Klasių komplektų, kurie nefinansuojami iš VB, skaičius</t>
  </si>
  <si>
    <t>Biudžeto sk.</t>
  </si>
  <si>
    <t>Ugdymo planų ir programų įgyvendinimas, ugdymo(si) sąlygų užtikrinimas (2.1.1.2.)</t>
  </si>
  <si>
    <t>Švietimo darbuotojų ugdomosios ir vadybinės veiklos tobulinimas</t>
  </si>
  <si>
    <t>Darbuotojų, patobulinusių įgūdžius skaičius</t>
  </si>
  <si>
    <t>Sudaryti sąlygas gabių ir talentingų vaikų ugdymui ir ugdymuisi</t>
  </si>
  <si>
    <t>Skatinti ir remti vaikų meninę, sportinę, kūrybinę saviraišką (2.1.2.1.)</t>
  </si>
  <si>
    <t>Mokomųjų dalykų, olimpiadų, konkursų, sporto varžybų, kultūrinių renginių organizavimas</t>
  </si>
  <si>
    <t>Suorganizuotų mokomųjų dalykų, olimpiadų, kokursų skaičius</t>
  </si>
  <si>
    <t>Suorganizuotų sporto varžybų, kultūrinių renginių skaičius</t>
  </si>
  <si>
    <t>Neformaliojo ugdymo programų įgyvendinimas, ugdymo sąlygų užtikrinimas rajono neformaliojo ugdymo mokyklose</t>
  </si>
  <si>
    <t>191417232, 191417385, 191417428, 191417570, 188718713</t>
  </si>
  <si>
    <t>Neformaliojo ugdymo įstaigų skaičius</t>
  </si>
  <si>
    <t>Pagal neformaliojo ugdymo programas besimokančių mokinių skaičius</t>
  </si>
  <si>
    <t>Švietimo programų finansavimas</t>
  </si>
  <si>
    <t>Švietimo sistemos dalyviams skirtų skatinimo priemonių skaičius (olimpiados, apdovanojimai ir pan.).</t>
  </si>
  <si>
    <t>Plėsti neformaliojo ugdymo įstaigų veiklą (2.1.2.2.)</t>
  </si>
  <si>
    <t>Buvo pasiūlymas DG: Integruoti meno krypties ugdymą Eišiškių muzikos ir Jašiūnų muzikos mokyklose</t>
  </si>
  <si>
    <t>Skatinti Savivaldybės ir švietimo įstaigų bendradarbiavimą diegiant STEAM ir kitas inovatyvias ugdymo programas (2.1.2.3.)</t>
  </si>
  <si>
    <t>Gerinti pagalbos mokiniui, šeimai ir mokyklai kokybę ir prieinamumą</t>
  </si>
  <si>
    <t>Užtikrinti mokymosi prieinamumą specialiųjų poreikių vaikams (2.1.3.1.)</t>
  </si>
  <si>
    <t>Pedagoginės psichologinės pagalbos organizavimas</t>
  </si>
  <si>
    <t>Darbuotojų, teikiančių pedagoginę psichologinę pagalbą, skaičius</t>
  </si>
  <si>
    <t>Švietimo ir sport sk.</t>
  </si>
  <si>
    <t>Vaikų, kuriems buvosuteikta pedagoginė psichologinė pagalba, skaičius</t>
  </si>
  <si>
    <t>Savivaldybės ir švietimo įstaigų bendradarbiavimas skatinant įtraukųjį ugdymą</t>
  </si>
  <si>
    <t>Parengtų planų skaičius</t>
  </si>
  <si>
    <t>Pasirašyta bendradarbiavimo sutarčių</t>
  </si>
  <si>
    <t>Vykdyti neigiamų socialinių reiškinių prevenciją (2.1.3.2.)</t>
  </si>
  <si>
    <t>Mokyklos nelankymo, smurto, narkotinių ir psichotropinių medžiagų vartojimo prevencinių programų parengimas ir įgyvendinimas</t>
  </si>
  <si>
    <t>Įgyvendinamų prevencinių programų skaičius</t>
  </si>
  <si>
    <t>Iš viso iš jų</t>
  </si>
  <si>
    <t>VIP</t>
  </si>
  <si>
    <t>P(B)</t>
  </si>
  <si>
    <t>03 Sveikatos apsaugos programa</t>
  </si>
  <si>
    <t>Didinti sveikatos priežiūros paslaugų kokybę ir prieinamumą</t>
  </si>
  <si>
    <t>Užtikrinti sveikatos priežiūros paslaugų teikimą ir aukštą paslaugų kokybę (2.2.1.1.)</t>
  </si>
  <si>
    <t>Stipendijų skyrimas studentams</t>
  </si>
  <si>
    <t>Studentų, gavusių stipendijas, skaičius</t>
  </si>
  <si>
    <t>Socialinės paramos ir sveikatos apsaugos sk.</t>
  </si>
  <si>
    <t>Sveikatos priežiūros specialistų pritraukimo į rajoną, priemonių įgyvendinimas</t>
  </si>
  <si>
    <t>Naujai pritrauktų sveikatos priežiūros specialistų skaičius</t>
  </si>
  <si>
    <t>Organizuoti sveikatos programų rengimą ir įgyvendinimą (2.2.1.2.)</t>
  </si>
  <si>
    <t>Savivaldybės visuomenės sveikatos priežiūros funkcijų vykdymas</t>
  </si>
  <si>
    <t>Sveikatos specialistų ugdymo įstaigose užimtų pareigybių skaičius</t>
  </si>
  <si>
    <t>Gerinti medicinos paslaugų kokybę diegiant šiuolaikines technologijas (2.2.1.3.)</t>
  </si>
  <si>
    <t>Sveikatos programų finanavimas</t>
  </si>
  <si>
    <t>Sveikatos įstaigų, kurioms skiriamas ŠRSA dalininko įnašas, skaičius</t>
  </si>
  <si>
    <t>Projektų, kuriems skiriamas ŠRSA bendrasis finansavimas, skaičius</t>
  </si>
  <si>
    <t>Užtikrinti efektyvią susirgimų prevenciją</t>
  </si>
  <si>
    <t>Užtikrinti sveiką ir saugią gyvenamąją aplinką rajone (2.2.2.1.)</t>
  </si>
  <si>
    <t>Rūpinimasis teritorijos sanitarija, higienos ir gamtos apsaugos reikalavimų laikymosi kontrolė</t>
  </si>
  <si>
    <t>Vietų, kuriose tikrinama smėlio kokybė, skaičius</t>
  </si>
  <si>
    <t>Vietų, kuriose tikrinama vandens kokybė, skaičius</t>
  </si>
  <si>
    <r>
      <t>Užtikrinti savižudybių prevencijos prioritetų nustatymo ilgojo ir trumpojo laikotarpiu savižudybių prevencijos priemonių ir joms įgyvendinti reikiam</t>
    </r>
    <r>
      <rPr>
        <strike/>
        <sz val="12"/>
        <color rgb="FF000000"/>
        <rFont val="Times New Roman"/>
        <family val="1"/>
      </rPr>
      <t>o</t>
    </r>
    <r>
      <rPr>
        <sz val="12"/>
        <color indexed="8"/>
        <rFont val="Times New Roman"/>
        <family val="1"/>
        <charset val="186"/>
      </rPr>
      <t xml:space="preserve"> finansavimo planavimas</t>
    </r>
  </si>
  <si>
    <t>Įgyvendinamų projektų, programų skaičius</t>
  </si>
  <si>
    <t>Gerinti sveikatinimo veikla (2.2.2.2.)</t>
  </si>
  <si>
    <t>Sveiko gyvenimo būdo skatinimas</t>
  </si>
  <si>
    <t>Narkotikų kontrolės ir vaiko gerovės bei šeimo komisijos bei administracijos vaiko gerovės bei šeimo komisijos susirinkimų skaičius</t>
  </si>
  <si>
    <t>Neveiksnių asmenų būklės peržiūros užtikrinimas</t>
  </si>
  <si>
    <t>0,4</t>
  </si>
  <si>
    <t>Pervertintų asmenų skaičius</t>
  </si>
  <si>
    <t>ams.</t>
  </si>
  <si>
    <t>Turtui įsigyti ir finansiniams įsipareigojimams vykdyti</t>
  </si>
  <si>
    <t>04 Socialinės paramos programa</t>
  </si>
  <si>
    <t>Užtikrinti nuoseklų ir efektyvų socialinių paslaugų teikimą socialiai pažeidžiamiems gyventojams ir grupėms</t>
  </si>
  <si>
    <t>Užtikrinti gyventojų poreikius atitinkančių socialinių paslaugų teikimą (2.3.1.1.)</t>
  </si>
  <si>
    <t>Socialinių paslaugų teikimo užtikrinimas</t>
  </si>
  <si>
    <t>Asmeninio asistento paslaugas gaunančių asmenų skaičius</t>
  </si>
  <si>
    <t>Socialinės paramos ir sveikatos apsaugos skyr.</t>
  </si>
  <si>
    <t>Šalčininkų socialinių paslaugų centro paslaugų teikimas ir programų vykdymas</t>
  </si>
  <si>
    <t>Socialines paslaugas teikiančių etatų skaičius</t>
  </si>
  <si>
    <t>Socialinių paslaugų centras</t>
  </si>
  <si>
    <t xml:space="preserve">Asmenų, kuriems socialinių paslaugų centre teikiamos paslaugos, skaičius </t>
  </si>
  <si>
    <t>asm./ mėn.</t>
  </si>
  <si>
    <t>Paslaugų teikimas Čiužiakampio senelių globos namuose</t>
  </si>
  <si>
    <t>Paslaugas teikiančių etatų skaičius</t>
  </si>
  <si>
    <t>Čiužiakampio senelių globos namai</t>
  </si>
  <si>
    <t xml:space="preserve">Asmenų, kuriems senelių globos namuose teikiamos paslaugos, skaičius </t>
  </si>
  <si>
    <t>Paslaugų teikimas Šalčininkų rajono šeimos ir vaiko gerovės centre</t>
  </si>
  <si>
    <t xml:space="preserve">Šeimos ir vaiko gerovės centras </t>
  </si>
  <si>
    <t>Vaikų globos namuose gyvenančių vaikų, skaičius (metų pab.)</t>
  </si>
  <si>
    <t>Šalčininkų rajono sutrikusio intelekto žmonių dienos užimtumo centro paslaugų teikimas ir programų vykdymas</t>
  </si>
  <si>
    <t>Sutrikusio intelekto žmonių dienos užimtumo centras</t>
  </si>
  <si>
    <t>Centre aptarnaujamų asmenų, skaičius</t>
  </si>
  <si>
    <t>Paslaugų teikimas vaikų dienos centruose</t>
  </si>
  <si>
    <t>Paslaugas teikiančių darbuotojų (pareigybių) skaičius</t>
  </si>
  <si>
    <t>Vaikų, gavusių vaikų dienos socialinės priežiūros paslaugas, skaičius</t>
  </si>
  <si>
    <t>Teikti paramą pažeidžiamų asmenų grupėms bei asmenims</t>
  </si>
  <si>
    <t>Užtikrinti socialinių išmokų, pašalpų skyrimą ir mokėjimą (2.3.2.1.)</t>
  </si>
  <si>
    <t>Socialinės pašalpos skaičiavimas ir mokėjimas</t>
  </si>
  <si>
    <t>Pašalpų gavėjų skaičius</t>
  </si>
  <si>
    <t>Socialinės paramos teikimas mokiniams</t>
  </si>
  <si>
    <t>Mokinių, gavusių socialinę paramą, skaičius</t>
  </si>
  <si>
    <t>Transporto išlaidų kompensavimas</t>
  </si>
  <si>
    <t>Transporto išlaidų kompensacijų gavėjų skaičius</t>
  </si>
  <si>
    <t>Turto valdymo sk.</t>
  </si>
  <si>
    <t>Laidojimo išmokų mokėjimas</t>
  </si>
  <si>
    <t xml:space="preserve">Laidojimo išmokų gavėjų skaičius </t>
  </si>
  <si>
    <t xml:space="preserve">Vienkartinės paramos teikimas </t>
  </si>
  <si>
    <t>Vienkartinės paramos  gavėjų skaičius</t>
  </si>
  <si>
    <t>Šildymo, šalto ir karšto vandens išlaidų kompensacijų mokėjimas (centralizuotas šildymas)</t>
  </si>
  <si>
    <t>Ūkių, gaunančių kompensaciją, skaičius</t>
  </si>
  <si>
    <t>Socialinių išmokų administravimas</t>
  </si>
  <si>
    <t>Socialines išmokas administruojančių darbuotojų (pareigybių) skaičius</t>
  </si>
  <si>
    <t>Kompensacijų administravimas</t>
  </si>
  <si>
    <t>Kompensacijas administruojančių darbuotojų (pareigybių) skaičius</t>
  </si>
  <si>
    <r>
      <t>Socialinės paramos mokinia</t>
    </r>
    <r>
      <rPr>
        <sz val="11"/>
        <rFont val="Times New Roman"/>
        <family val="1"/>
        <charset val="186"/>
      </rPr>
      <t>ms administravim</t>
    </r>
    <r>
      <rPr>
        <sz val="11"/>
        <color indexed="8"/>
        <rFont val="Times New Roman"/>
        <family val="1"/>
        <charset val="186"/>
      </rPr>
      <t>as</t>
    </r>
  </si>
  <si>
    <t>Mokinių, kuriems skiriama socialinė parama (mokinio reikmenys), skaičius</t>
  </si>
  <si>
    <t>iš viso</t>
  </si>
  <si>
    <t>191415758, 191415943, 291417190, 191651922, 191416511, 191416479, 191415562, 29141510, 191416326, 291416850, 291414080, 19147047, 191414460, 191415039, 191413554,</t>
  </si>
  <si>
    <t>Socialinių paslaugų teikimo administravimas</t>
  </si>
  <si>
    <t xml:space="preserve">188718713 175014940 175012170 300031618 </t>
  </si>
  <si>
    <t>Piniginės išmokos, sunkią negalią turintiems žmonėms, gavėjų skaičius</t>
  </si>
  <si>
    <t>Socialinės paramos ir sveikatos apsaugos sk. Soc.paslaugų centras Senelių namai Sutr.intel.žmonių centras</t>
  </si>
  <si>
    <t>Socialinės paramos teikimas mokiniams (išlaidos už įsigytus produktus)</t>
  </si>
  <si>
    <t>191416098, 19146283, 191415758, 191415943, 291417190, 191651922, 191416511, 191416479, 191409132, 291410630, 291408750, 191408945, 191415562, 29141510, 191416326, 191416664, 291416850, 191414994, 191414122, 291414080, 19147047, 191414318, 191414460, 191415039, 191414656, 191413892, 191413554, 191409285, 195006449, 191409470, 191410597, 191409328, 191410444, 191409666,</t>
  </si>
  <si>
    <t>Mokinių, kuriems skiriama socialinė parama (už įsigytus produktus), skaičius</t>
  </si>
  <si>
    <t>Žmogaus palaikų transportavimas</t>
  </si>
  <si>
    <t>Transporto paslaugų skaičius</t>
  </si>
  <si>
    <t>16</t>
  </si>
  <si>
    <t>Šildymo, šalto ir karšto vandens išlaidų kompensacijų mokėjimas (kietas kuras)</t>
  </si>
  <si>
    <t>18</t>
  </si>
  <si>
    <t>Šeimos stiprinimo priemonių įgyvendinimas</t>
  </si>
  <si>
    <t>Globos išmokos šeimoje, šeimynoje, globos centre ar vaikų globos institucijoje globojamiems  vaikams ir besimokantiems ar studijuojantiems buvusiems globotiniams, gavėjų skačius</t>
  </si>
  <si>
    <t>19</t>
  </si>
  <si>
    <t>Kredito, paimto daugiabučiam namui atnaujinti ir palūkanų apmokėjimas už asmenis, turinčius teisę į būsto šildymo išlaidų kompensaciją</t>
  </si>
  <si>
    <t>Asmenų, gavusių kredito lengvatą, skaičius</t>
  </si>
  <si>
    <t>21</t>
  </si>
  <si>
    <t>Tikslinių kompensacijų mokėjimas</t>
  </si>
  <si>
    <t>Asmenų, gaunančių tikslinę kompensaciją, skaičius</t>
  </si>
  <si>
    <t>22</t>
  </si>
  <si>
    <t>Tikslinių kompensacijų mokėjimo administravimas</t>
  </si>
  <si>
    <t>Tikslinės kompensacijos administruojančių darbuotojų sk.</t>
  </si>
  <si>
    <t>23</t>
  </si>
  <si>
    <t>Išmokų vaikams mokėjimas</t>
  </si>
  <si>
    <t>Vaikų, gaunančių išmoką vaikui, skaičius</t>
  </si>
  <si>
    <t>24</t>
  </si>
  <si>
    <t>Išmokų vaikams mokėjimo administravimas</t>
  </si>
  <si>
    <t>Išmoką vaikui administruojančių darbuotojų skaičius</t>
  </si>
  <si>
    <t>Socialinė priežiūra šeimoms</t>
  </si>
  <si>
    <t>Soc. rizikos šeimų, kurioms buvo suteiktos soc. įgūdžių ugdymo ir palaikymo paslaugos, skaičius</t>
  </si>
  <si>
    <t>Teikti pagalbą sudėtingoje situacijoje atsidūrusiems žmonėms (2.3.3.2.)</t>
  </si>
  <si>
    <t>Būsto nuomos ir išperkamosios būsto nuomos mokesčių dalies kompensavimas</t>
  </si>
  <si>
    <t>Asmenų, sudariusių būsto nuomos sutartys, skaičius</t>
  </si>
  <si>
    <t>Turto valdymo skyrius</t>
  </si>
  <si>
    <t>Būsto pritaikymas žmonėms su negalia</t>
  </si>
  <si>
    <t>Žmonėms su negalia pritaikytų būstų skaičius</t>
  </si>
  <si>
    <t>Įrengtų pandusų, įvažiavimų skaičius</t>
  </si>
  <si>
    <t>Socialinės reabilitacijos neįgaliesiems bendruomenėje paslaugų teikimas</t>
  </si>
  <si>
    <t xml:space="preserve"> Asmenų, gavusių socialinės reabilitacijos paslaugas neįgaliesiems bendruomenėje, skaičius</t>
  </si>
  <si>
    <t>Socialinio būsto priežiūra ir fizinės būklės gerinimas</t>
  </si>
  <si>
    <t>Prižiūrimų socialinių būstų skaičius</t>
  </si>
  <si>
    <t>Socialinio būsto vienetų, kuriuose pagerinta būklė, skaičius</t>
  </si>
  <si>
    <t>Čia įtrauktos projekto "Socialinio būsto fondo plėtra Šalčininkų rajone" dotacijų  grąžinimo</t>
  </si>
  <si>
    <t>Finansinėpaskata jaunoms šeimoms įsigyjančioms pirmąjį būstą</t>
  </si>
  <si>
    <t>Jaunų šeimų, gavusių paramą skaičius</t>
  </si>
  <si>
    <t xml:space="preserve">Turto valdymo sk. </t>
  </si>
  <si>
    <t>Skatinti ir remti bendruomenės ir NVO veiklą vykdant socialinių problemų prevenciją ir pagalbos teikimą (2.3.3.3.)</t>
  </si>
  <si>
    <t>Smurto artimoje aplinkoje prevencijos ir pagalbos teikimas nukentėjusiems asmenims</t>
  </si>
  <si>
    <t>Prevencijos ir pagalbos priemones gavusių šeimų skaičius</t>
  </si>
  <si>
    <t>Didinti socialinio ir lengvatinio gyvenamojo būsto prieinamumą (2.3.3.4.)</t>
  </si>
  <si>
    <t>Socialinio fondo būsto plėtra Šalčininkų rajone</t>
  </si>
  <si>
    <t>Naujų socialinių būstų skaičius</t>
  </si>
  <si>
    <t>05 Viešosios tvarkos ir saugumo programa</t>
  </si>
  <si>
    <t xml:space="preserve"> Didinti gyventojų saugumą ir atsparumą įvairioms grėsmėms</t>
  </si>
  <si>
    <t>Sukurti saugią aplinką rajone (2.4.1.1.)</t>
  </si>
  <si>
    <t>Priešgaisrinės apsaugos funkcijų vykdymo užtikrinimas</t>
  </si>
  <si>
    <t>Priešgaisrinėje tarnyboje užimtų pareigybių skaičius</t>
  </si>
  <si>
    <t>Priešgaisrinė tarnyba</t>
  </si>
  <si>
    <t>Išvykimų į incidentus skaičius</t>
  </si>
  <si>
    <t>Civilinės saugos užtikrinimas, mokymų civilinės, priešgaisrinės ir darbo saugos klausimais organizavimas</t>
  </si>
  <si>
    <t>Suorganizuotų mokymų, renginių civilinės, priešgaisrinės ir darbo saugos klausimais skaičius</t>
  </si>
  <si>
    <t>Komunalinio ūkio sk.</t>
  </si>
  <si>
    <t xml:space="preserve"> Viešosios tvarkos užtikrinimas</t>
  </si>
  <si>
    <t>Įsigytų viešąją tvarką užtikrinančių priemonių (įvardinti) skaičius</t>
  </si>
  <si>
    <t>Viešosios tvarkos sk</t>
  </si>
  <si>
    <t>Įgyvendinti smurto ir nusikalstamumo prevencijos priemones (2.4.1.2.)</t>
  </si>
  <si>
    <t>Gyventojų švietimas saugumo klausimais</t>
  </si>
  <si>
    <t>Suorganizuotų renginių skaičius</t>
  </si>
  <si>
    <t>Parengtų metodinių priemonių skaičius</t>
  </si>
  <si>
    <t>06 Verslo skatinimo programa</t>
  </si>
  <si>
    <t>Prisidėti prie verslo vystymo ir užimtumo didinimo rajone</t>
  </si>
  <si>
    <t>Skatinti smulkaus ir vidutinio verslo kūrimąsi ir veiklą (3.1.1.1.)</t>
  </si>
  <si>
    <t>Didinti gyventojų užimtumą (3.1.1.2.)</t>
  </si>
  <si>
    <t>Užimtumo didinimo programos įgyvendinimas</t>
  </si>
  <si>
    <t>Programoje dalyvavusių asmenų skaičius</t>
  </si>
  <si>
    <t>Socialinės paramos skyrius</t>
  </si>
  <si>
    <t>Darbą susiradusių ilgalaikių bedarbių skaičius</t>
  </si>
  <si>
    <t>Investicinio klimato rajone gerinimas (3.1.1.3.)</t>
  </si>
  <si>
    <t>Investicinių sklypų ir patalpų pritaikymas verslui</t>
  </si>
  <si>
    <t>Investicijoms pritaikytų sklypų skaičius/plotas</t>
  </si>
  <si>
    <r>
      <t>vnt./km</t>
    </r>
    <r>
      <rPr>
        <i/>
        <vertAlign val="superscript"/>
        <sz val="10"/>
        <color rgb="FF000000"/>
        <rFont val="Times New Roman"/>
        <family val="1"/>
      </rPr>
      <t>2</t>
    </r>
  </si>
  <si>
    <t>1/2 ha</t>
  </si>
  <si>
    <t>Investicijoms pritaikytų patalpų plotas</t>
  </si>
  <si>
    <t>Investuotojams patrauklaus rajono įvaizdžio formavimas</t>
  </si>
  <si>
    <t>Parengtas rajono investavimo galimybių pristatymas 3 kalbomis</t>
  </si>
  <si>
    <t>Susuitikimų su potencialiais investuotojais skaičius</t>
  </si>
  <si>
    <t>Gyventojų rajone išlaikymas ir pritraukimas (3.1.1.4.)</t>
  </si>
  <si>
    <t>Skatinti turizmą rajone ir plėsti turizmo paslaugų rinką</t>
  </si>
  <si>
    <r>
      <rPr>
        <i/>
        <sz val="11"/>
        <color rgb="FF000000"/>
        <rFont val="Times New Roman"/>
        <family val="1"/>
      </rPr>
      <t xml:space="preserve">Plėsti ir prižiūrėti </t>
    </r>
    <r>
      <rPr>
        <i/>
        <strike/>
        <sz val="11"/>
        <color rgb="FF000000"/>
        <rFont val="Times New Roman"/>
        <family val="1"/>
      </rPr>
      <t xml:space="preserve"> </t>
    </r>
    <r>
      <rPr>
        <i/>
        <sz val="11"/>
        <color indexed="8"/>
        <rFont val="Times New Roman"/>
        <family val="1"/>
        <charset val="186"/>
      </rPr>
      <t>turizmo infrastruktūrą</t>
    </r>
    <r>
      <rPr>
        <i/>
        <sz val="11"/>
        <color indexed="8"/>
        <rFont val="Times New Roman"/>
        <family val="1"/>
      </rPr>
      <t xml:space="preserve"> (3.1.2.1.)</t>
    </r>
  </si>
  <si>
    <t>Paminklosaugos priežiūros organizavimas</t>
  </si>
  <si>
    <t>Prižiūrimų objektų skaičius</t>
  </si>
  <si>
    <t>tvarkybos darbų techninės dokumentacijos parengimas arba tvarkybos darbų atlikimas</t>
  </si>
  <si>
    <t xml:space="preserve">Turizmo produktų plėtra ir rinkodaros priemonių įgyvendinimas </t>
  </si>
  <si>
    <t>Turizmo rinkodaros priemonių įgyvendinimas</t>
  </si>
  <si>
    <t>Turzimo renginių, kuriuose reperezentuojamas rajonas skaičius</t>
  </si>
  <si>
    <t>Turizmo ir informacijos sk.</t>
  </si>
  <si>
    <t>Kvalifikacijos kėlimo renginių, kuriuose dalyvauja turizmo srities specialistai, skaičius</t>
  </si>
  <si>
    <t>Naujų turizmo produktų vystymas</t>
  </si>
  <si>
    <t>Parengta naujo turistinio maršturo koncepcija</t>
  </si>
  <si>
    <t>Turizmo veiklų plėtra bendradarbiaujant su turizmo srityje veikiančiomis įstaigomis, įmonėmis</t>
  </si>
  <si>
    <t>Pasirašytų bendradarbiavimo sutarčių skaičius</t>
  </si>
  <si>
    <t>Bendrų veiklų (susitikimų, renginių) skaičius</t>
  </si>
  <si>
    <t>07 Žemės ūkio ir kaimo plėtros programa</t>
  </si>
  <si>
    <t>Vykdyti su žemės ūkio veikla rajone susijusią apskaitą</t>
  </si>
  <si>
    <t>Registruoti rajone veikiančius ūkininkų ūkius bei žemės ūkyje naudojamus išteklius (3.2.1.1.)</t>
  </si>
  <si>
    <t>Žemės ūkio valdų ir ūkininkų ūkių registravimas</t>
  </si>
  <si>
    <t>Įregistruotų žemės ūkio valdų skaičius</t>
  </si>
  <si>
    <t>Žemės ūkio sk.</t>
  </si>
  <si>
    <t>Įregistruotų ūkininkų ūkių skaičius</t>
  </si>
  <si>
    <t>Vykdyti melioracijos statinių priežiūrą</t>
  </si>
  <si>
    <t>Planuoti ir vykdyti melioracijos statinių priežiūrą ir atnaujinimą (3.2.2.1.)</t>
  </si>
  <si>
    <t>Melioracijos darbų programos rengimas ir įgyvendinimas</t>
  </si>
  <si>
    <t>Plotas, kuriame atlikti melioracijos darbai</t>
  </si>
  <si>
    <t>ha</t>
  </si>
  <si>
    <t>Suremontuotų melioracijos įrenginių ilgis</t>
  </si>
  <si>
    <t>km</t>
  </si>
  <si>
    <t>Užtikrinti darnią žemės ūkio ir kaimo plėtrą</t>
  </si>
  <si>
    <t>Žemės ūkio skyriaus valdomų sistemų administravimas (3.2.3.1.)</t>
  </si>
  <si>
    <t>Erdvinio duomenų rinkinio tvarkymo funkcija</t>
  </si>
  <si>
    <t>Prisidėti prie ūkininkams skirtų renginių rengimo (3.2.3.2.)</t>
  </si>
  <si>
    <t>Derliaus šventės, Artojų varžybų ir kitų panašių renginių organizavimas bei rėmimas</t>
  </si>
  <si>
    <t>Žemės ūkio tematika suorganizuotų renginių skaičius</t>
  </si>
  <si>
    <t>Paramą gavusių renginių skaičius</t>
  </si>
  <si>
    <t>Našaus ir tvaraus žemės ūkio ir miškininkystės veiklos skatinimas rajone (3.2.3.3.)</t>
  </si>
  <si>
    <t>08 Viešosios infrastruktūros gerinimo programa</t>
  </si>
  <si>
    <t>Užtikrinti darnų Šalčininkų rajono teritorijos vystymą</t>
  </si>
  <si>
    <t>Rengti teritorijų planavimo dokumentus (4.1.1.1.)</t>
  </si>
  <si>
    <t>Prisidėti prie gyvenamųjų namų aplinkos gerinimo (4.1.1.2.)</t>
  </si>
  <si>
    <t>Daugiabučių namų savininkų bendrijų rėmimas</t>
  </si>
  <si>
    <t>Daugiabučių namų bendrijų, gavusių paramą, skaičius</t>
  </si>
  <si>
    <t>Organizuoti komunalinių paslaugų teikimą gyventojams</t>
  </si>
  <si>
    <t>Vykdyti komunalinio ūkio plėtrą (4.1.2.1.)</t>
  </si>
  <si>
    <t>Komunalinių paslaugų teikimas</t>
  </si>
  <si>
    <t xml:space="preserve">Pagerintų teikiamų komunalinių paslaugų grupių skaičius </t>
  </si>
  <si>
    <t>Komunalinio ūkio plėtra seniūnijose</t>
  </si>
  <si>
    <t>Apšviestų gatvių dalis nuo visų gatvių</t>
  </si>
  <si>
    <t>Įrengtų šviesos taškų skaičius</t>
  </si>
  <si>
    <t>Komunalinių atliekų rūšiuojamojo surinkimo infrastruktūros plėtra (Dieveniškių aikštelė)</t>
  </si>
  <si>
    <t>Įrengta didelių gabaritų atliekų surinkimo aikštelė</t>
  </si>
  <si>
    <t>Didinti centralizuotų vandens ir nuotekų tinklų vartotojų skaičių bei teikiamų paslaugų kokybę (4.1.2.2.)</t>
  </si>
  <si>
    <t>Geriamojo vandens tiekimo ir nuotekų tvarkymo sistemų renovavimas ir plėtra, įmonių valdymo tobulinimas</t>
  </si>
  <si>
    <t>Nutiesti nauji vandens tiekimo ir nuotekų surinkimo tinklai</t>
  </si>
  <si>
    <t>Rekonstruoti vandens tiekimo ir nuotekų surinkimo tinklai</t>
  </si>
  <si>
    <t>Naujai įrengtų arba modernizuotų valyklų skaičius</t>
  </si>
  <si>
    <t>Nuotekų surinkimo tinklų plėtra Šalčininkų aglomeracijoje</t>
  </si>
  <si>
    <t xml:space="preserve">Nutiesti nauji nuotekų tinklai </t>
  </si>
  <si>
    <t xml:space="preserve">Komunalinio ūkio sk. ir UAB "Vilniaus vandenys" </t>
  </si>
  <si>
    <t>Nutiesti nauji vandentiekio tinklai</t>
  </si>
  <si>
    <t>Nuotekų surinkimo tinklų plėtra Eišiškių aglomeracijoje</t>
  </si>
  <si>
    <t>Nutiesti nauji nuotekų tinklai</t>
  </si>
  <si>
    <t xml:space="preserve">komunalinio ūkio sk. ir UAB "Vilniaus Vandenys" </t>
  </si>
  <si>
    <t>Organizuoti savivaldybės teritorijos atliekų prevenciją ir tvarkymą (4.1.2.3.)</t>
  </si>
  <si>
    <t>Atliekų tvarkymas ir išvežimas</t>
  </si>
  <si>
    <t>Suinktų atliekų kiekis</t>
  </si>
  <si>
    <t>t.</t>
  </si>
  <si>
    <r>
      <t xml:space="preserve">Atliekų prevencijos ir tvarkymo priemonių </t>
    </r>
    <r>
      <rPr>
        <sz val="11"/>
        <rFont val="Times New Roman"/>
        <family val="1"/>
      </rPr>
      <t>plano 2021–2027 m.</t>
    </r>
    <r>
      <rPr>
        <sz val="11"/>
        <color indexed="8"/>
        <rFont val="Times New Roman"/>
        <family val="1"/>
        <charset val="186"/>
      </rPr>
      <t xml:space="preserve"> įgyvendinimas</t>
    </r>
  </si>
  <si>
    <t>Naujų tekstilės atliekų konteinerių skaičius</t>
  </si>
  <si>
    <t>Įrengtų viešojo geriamojo vandens stotelių skaičius</t>
  </si>
  <si>
    <t>Naujų, antrinių žaliavų individualaus naudojimo konteinerių komplektų skaičius</t>
  </si>
  <si>
    <t>Naujų, mišrių komunalinių atliekų individualaus naudojimo konteinerių skaičius</t>
  </si>
  <si>
    <t>Naujų kompostinių dėžių skaičius</t>
  </si>
  <si>
    <t>Individualių konteinerių maisto atliekoms surinkti skaičius</t>
  </si>
  <si>
    <t>Organizuoti Centralizuotos šilumos ir vėsumos tiekimo modernizavimą ir plėtrą, katilų priežiūrą</t>
  </si>
  <si>
    <t>Centralizuotos šilumos tinklų plėtra</t>
  </si>
  <si>
    <t>Prie centralizuoto šilumos tiekimo tinklo naujai prijungtų vartotojų skaičius</t>
  </si>
  <si>
    <t>Katilų priežiūra ir modernizavimas</t>
  </si>
  <si>
    <t>Viešosiose įstaigose pakeistų katilų skaičius</t>
  </si>
  <si>
    <t>Užtikrinti patikimą rajono ryšių sistemą ir jai reikalingą infrastruktūrą</t>
  </si>
  <si>
    <t>Vykdyti gatvių ir šaligatvių priežiūrą bei atlikti reikiamus dangos tobulinimo darbus</t>
  </si>
  <si>
    <t>Šalčininkų rajono savivaldybės vietinių kelių asfaltavimas</t>
  </si>
  <si>
    <t>Suremontuotų kelių ir gatvių su žvyro danga ilgis</t>
  </si>
  <si>
    <t>Komūnalinio ūkio skyrius</t>
  </si>
  <si>
    <t>Kelių, gatvių (šaligatvių) su asfalto danga remontas ir priežiūra</t>
  </si>
  <si>
    <t>Suremontuotų kelių, gatvių ir šaligatvių su asfalto danga ilgis</t>
  </si>
  <si>
    <t xml:space="preserve">Kelių ir gatvių su žvyro danga remontas ir priežiūra </t>
  </si>
  <si>
    <t>Išasfaltuotų vietinių kelių ilgis</t>
  </si>
  <si>
    <t>Šalčininkų miesto gatvių infrastruktūros gerinimas</t>
  </si>
  <si>
    <t>14</t>
  </si>
  <si>
    <t>Mickevičiaus ir M. Balinskio gatvių atkarpų rekonstrukcija Šalčininkų mieste</t>
  </si>
  <si>
    <t>Užtikrinti gyventojų vežimą viešojo transporto maršrutais</t>
  </si>
  <si>
    <t>Keleivių vežimo nuostolingais maršrutais patirtų nuostolių kompensavimas</t>
  </si>
  <si>
    <t>Kompensaciją gavusių keleivių skaičius</t>
  </si>
  <si>
    <t>Keleivių vežimo gerinimas</t>
  </si>
  <si>
    <t>Įvesta elektroninio bilieto sistema</t>
  </si>
  <si>
    <t>Viešajam transportui, neįgaliesiesiems pritaikytų priemonių skaičius</t>
  </si>
  <si>
    <t>09 Renovacijos bei teritorijų sutvarkymo programa</t>
  </si>
  <si>
    <t>Užtikrinti tinkamas fizinės sąlygas rajono viešosiose įstaigose bei užtikrinti efektyvų energijos naudojimą</t>
  </si>
  <si>
    <t>Pagerinti fizines sąlygas rajono Švietimo ir sporto sk. įstaigose (4.2.1.1.)</t>
  </si>
  <si>
    <t>Šalčninkų Jano Sniadeckio gimnazijos ugdymo aplinkos modernizavimas</t>
  </si>
  <si>
    <t>Modernizuotas pastatas</t>
  </si>
  <si>
    <t>Investicijų ir strateginio planavimo sk. / Turizmo ir informacijos sk.</t>
  </si>
  <si>
    <t>Šalčininkų Stanislavo Moniuškos menų mokyklos pastato-baseino, esančio Plento g. 5, Šalčininkų m., modernizavimas (energetinio efektyvumo didinimimas)</t>
  </si>
  <si>
    <t>Suremontuota pastato išorė</t>
  </si>
  <si>
    <t>Pritaikyti buvusius mokyklų pastatus gyventojų poreikiams (4.2.1.2.)</t>
  </si>
  <si>
    <t>Pagerinti fizines sąlygas rajono sveikatos priežiūros ir socialinių paslaugų įstaigose (4.2.1.3.)</t>
  </si>
  <si>
    <t>Užtikrinti tinkamas fizinias sąlygas Šalčininkų rajono savivaldybės padaliniuose (4.2.1.4.)</t>
  </si>
  <si>
    <t>Savivaldybės pastato atnaujinimas (modernizavimas)</t>
  </si>
  <si>
    <t>Šalčininkų seniūnijos pastato atnaujinimas (modernizavimas)</t>
  </si>
  <si>
    <t>Eišiškių muzikos mokyklos atnaujinimas</t>
  </si>
  <si>
    <t>Užtikrinti tinkamas sąlygas lankyti rajono kultūros paveldo objektus ir bendruomenei, laisvalaikio leidimui skirtas įstaigas</t>
  </si>
  <si>
    <t>Modernizuoti kultūros ir laisvalaikio įstaigų patalpas (4.2.2.1.)</t>
  </si>
  <si>
    <t>Palankių sąlygų aktyviai sporto veiklai sudarymas (4.2.2.2.)</t>
  </si>
  <si>
    <t>Sudaryti palankesnes sąlygas gyventojams dalyvauti bendruomenių veikloje (4.2.2.3.)</t>
  </si>
  <si>
    <t>Vilkiškių dvaro sodybos pritaikymas jaunimo reikmėms. II etapas</t>
  </si>
  <si>
    <t>Pastato-vėnuolyno, esančio Pilies g. 64 Norviliškių k., Dieveniškių sen. remontas</t>
  </si>
  <si>
    <t>10 Aplinkos apsaugos programa</t>
  </si>
  <si>
    <t>Užtikrinti aplinkos apsaugai taikomų reikalavimų laikymąsi</t>
  </si>
  <si>
    <t>Gerinti aplinkos kokybę bei užtikrinti reikalavimų, taikomų saugomoms teritorijoms, laikymąsi (4.3.1.1.)</t>
  </si>
  <si>
    <t>Aplinkos apsaugos rėmimo specialiosios programos rengimas ir įgyvendinimas</t>
  </si>
  <si>
    <t>Įgyvendintų programos priemonių skaičius</t>
  </si>
  <si>
    <t>Gyventojų švietimo aplinkosaugos klausimais renginių, parengtų informacinių priemonių skaičius</t>
  </si>
  <si>
    <t>Savivaldybės teritorijoje esančių želdynų, želdinių apsauga, tvarkymas ir kūrimas, inventorizacijos, apskaitos, atskirųjų želdynų žemės sklypų kadastrinių matavimų ir įrašymo į nekilnojaojo turto registrą organizavimas ir stebėsena</t>
  </si>
  <si>
    <t>Apželdinamų ir prižiūrimų gėlynų plotas</t>
  </si>
  <si>
    <t>Atsodinamų medžių skaičius</t>
  </si>
  <si>
    <t>Gerinti gyvenamąją aplinką atstatant ekosistemas (4.3.1.2.)</t>
  </si>
  <si>
    <t>Užterštų teritorijų tvarkymas</t>
  </si>
  <si>
    <t>05, 06</t>
  </si>
  <si>
    <t>Surinktų asbesto atliekų kiekis</t>
  </si>
  <si>
    <t>Surinktų padangų atliekų kiekis</t>
  </si>
  <si>
    <t>Kraštovaizdžio formavimas prie Šalčininkų tvenkinio</t>
  </si>
  <si>
    <t>Įgyvendinti priemones, švvelninančias klimato kaitos poveikį (4.3.1.3.)</t>
  </si>
  <si>
    <t>Žaliosios energetikos priemonių įgyvendinimas</t>
  </si>
  <si>
    <t>Parengta dokumentacija/galimybių studija saulės parko statybai</t>
  </si>
  <si>
    <t>Atsinaujinančių išteklių srityje pateiktų paraiškų skaičius</t>
  </si>
  <si>
    <t>Netaršaus transporto skatinimas</t>
  </si>
  <si>
    <t>Įsigytų netarčių transporto priemonių skaičius</t>
  </si>
  <si>
    <t>Įrengtų el. krovimo stotelių skaičius</t>
  </si>
  <si>
    <t xml:space="preserve">Fotovoltinės elektrinės įrengimas l-d „Pasaka“ </t>
  </si>
  <si>
    <t>Įrengta fotovoltinė elektrinė</t>
  </si>
  <si>
    <t xml:space="preserve">Fotovoltinės elektrinės įrengimas „Santarvės“ gimnazijoje </t>
  </si>
  <si>
    <t xml:space="preserve">Fotovoltinės elektrinės įrengimas Šalčininkų Sniadeckio gimnazijoje </t>
  </si>
  <si>
    <t>10 kW galios Saulės fotovoltinės elektrinės įrengimas ant Eišiškių A. Ratkevičiaus sporto mokyklos pastato stogo</t>
  </si>
  <si>
    <t xml:space="preserve">11 Turiningo laisvalaikio skatinimo programa </t>
  </si>
  <si>
    <t>Kokybiško gyventojų užimtumo ir laisvalaikio praleidimo organizavimas</t>
  </si>
  <si>
    <t>Laisvalaikio renginių įvairiapusiškumo didinimas (2.5.1.1.)</t>
  </si>
  <si>
    <t xml:space="preserve">Laisvalaikio renginių įvairioms gyventojų amžiaus grupėms pasiūlos gerinimas </t>
  </si>
  <si>
    <t>Renginių skirtų senyvo amžiaus žmonėms skaičius</t>
  </si>
  <si>
    <t>Renginių skirtų įvairaus amžiaus žmonėms skaičius</t>
  </si>
  <si>
    <t>Kūno kultūros ir sporto plėtojimas, gyventojų poilsio organizavimas</t>
  </si>
  <si>
    <t>Organizacijų pateiktų paraiškų skaičius</t>
  </si>
  <si>
    <t>Surengtų sporto renginių skaičius</t>
  </si>
  <si>
    <t xml:space="preserve">Religinių bendrijų rėmimas </t>
  </si>
  <si>
    <t>Remiamų religinių bendrijų skaičius</t>
  </si>
  <si>
    <t>Nevyriausybinių organizacijų rėmimo programos įgyvendinimas</t>
  </si>
  <si>
    <t>Paramą gavusių projektų skaičius</t>
  </si>
  <si>
    <t>Jaunimo aktyvumą didinančių priemonių įgyvendinimas(2.5.1.2.)</t>
  </si>
  <si>
    <t>Laisvalaikio įstaigų veiklos ir infrastruktūros priežiūra ir plėtra</t>
  </si>
  <si>
    <t>Laisvalaikio įstaigų priežiūra (2.5.2.1.)</t>
  </si>
  <si>
    <t>Paslaugų teikimas kultūros centre ir jo išlaikymas bei priežiūra</t>
  </si>
  <si>
    <t>Kultūros centre dirbančių darbuotojų skaičius</t>
  </si>
  <si>
    <t>Kultūros centras</t>
  </si>
  <si>
    <t>Kultūros centro eksplotuojamų patalpų plotas</t>
  </si>
  <si>
    <t>Paslaugų teikimas viešojoje bibliotekoje ir jos išlaikymas bei priežiūra</t>
  </si>
  <si>
    <t>Bibliotekoje dirbančių darbuotojų skaičius</t>
  </si>
  <si>
    <t>Viešoji biblioteka</t>
  </si>
  <si>
    <t>Bibliotekos eksplotuojamų patalpų plotas</t>
  </si>
  <si>
    <t>Ilgalaikio turto nuomos kultūros centrui kompensavimas</t>
  </si>
  <si>
    <t>Nuomuojamų patalpų plotas</t>
  </si>
  <si>
    <t>2023 m. vasario d. sprendimu Nr. PR-(1.2E)-1303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</si>
</sst>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"/>
    <numFmt numFmtId="165" formatCode="0.0"/>
    <numFmt numFmtId="166" formatCode="#,##0.00;[Red]#,##0.00"/>
    <numFmt numFmtId="167" formatCode="#,##0.0\ _€"/>
  </numFmts>
  <fonts count="7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Calibri"/>
      <family val="2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b/>
      <sz val="18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1"/>
      <color indexed="8"/>
      <name val="Times New Roman"/>
      <family val="1"/>
    </font>
    <font>
      <sz val="11"/>
      <color rgb="FFFF0000"/>
      <name val="Times New Roman"/>
      <family val="1"/>
      <charset val="186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i/>
      <sz val="10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vertAlign val="superscript"/>
      <sz val="10"/>
      <color rgb="FF00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  <charset val="186"/>
    </font>
    <font>
      <sz val="11"/>
      <name val="Times New Roman"/>
      <family val="1"/>
    </font>
    <font>
      <strike/>
      <sz val="11"/>
      <color indexed="8"/>
      <name val="Times New Roman"/>
      <family val="1"/>
      <charset val="186"/>
    </font>
    <font>
      <sz val="10"/>
      <color indexed="8"/>
      <name val="Calibri"/>
      <family val="2"/>
      <charset val="186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rgb="FF444444"/>
      <name val="Calibri"/>
      <family val="2"/>
      <charset val="1"/>
    </font>
    <font>
      <sz val="12"/>
      <name val="Times New Roman"/>
      <family val="1"/>
    </font>
    <font>
      <b/>
      <sz val="12"/>
      <name val="Times New Roman"/>
      <family val="1"/>
    </font>
    <font>
      <strike/>
      <sz val="12"/>
      <color rgb="FF000000"/>
      <name val="Times New Roman"/>
      <family val="1"/>
    </font>
    <font>
      <b/>
      <sz val="12"/>
      <color indexed="8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trike/>
      <sz val="11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color rgb="FF000000"/>
      <name val="Times New Roman"/>
      <family val="1"/>
      <charset val="186"/>
    </font>
    <font>
      <u/>
      <sz val="11"/>
      <color theme="10"/>
      <name val="Calibri"/>
      <family val="2"/>
    </font>
    <font>
      <i/>
      <sz val="11"/>
      <color rgb="FF000000"/>
      <name val="Times New Roman"/>
      <family val="1"/>
    </font>
    <font>
      <i/>
      <strike/>
      <sz val="11"/>
      <color rgb="FF000000"/>
      <name val="Times New Roman"/>
      <family val="1"/>
    </font>
    <font>
      <b/>
      <sz val="10"/>
      <name val="Times New Roman"/>
      <family val="1"/>
      <charset val="186"/>
    </font>
    <font>
      <i/>
      <sz val="10"/>
      <color theme="1"/>
      <name val="Times New Roman"/>
      <family val="1"/>
    </font>
    <font>
      <i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sz val="10"/>
      <color theme="1"/>
      <name val="Times New Roman"/>
      <family val="1"/>
      <charset val="186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color indexed="8"/>
      <name val="Times New Roman"/>
      <family val="1"/>
    </font>
    <font>
      <sz val="8"/>
      <color indexed="23"/>
      <name val="Tahoma"/>
      <family val="2"/>
    </font>
    <font>
      <b/>
      <sz val="10"/>
      <color indexed="23"/>
      <name val="Tahoma"/>
      <family val="2"/>
    </font>
    <font>
      <b/>
      <sz val="8"/>
      <color indexed="23"/>
      <name val="Tahoma"/>
      <family val="2"/>
    </font>
    <font>
      <i/>
      <sz val="10"/>
      <color rgb="FF000000"/>
      <name val="Times New Roman"/>
      <family val="1"/>
    </font>
    <font>
      <sz val="9"/>
      <color indexed="8"/>
      <name val="Calibri"/>
      <family val="2"/>
      <charset val="186"/>
    </font>
    <font>
      <sz val="10"/>
      <color indexed="8"/>
      <name val="Calibri"/>
      <family val="2"/>
    </font>
    <font>
      <i/>
      <sz val="9"/>
      <color indexed="8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i/>
      <sz val="8"/>
      <color indexed="8"/>
      <name val="Times New Roman"/>
      <family val="1"/>
    </font>
    <font>
      <i/>
      <sz val="7.5"/>
      <color indexed="8"/>
      <name val="Times New Roman"/>
      <family val="1"/>
    </font>
    <font>
      <i/>
      <sz val="7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/>
    <xf numFmtId="0" fontId="19" fillId="0" borderId="0"/>
    <xf numFmtId="0" fontId="18" fillId="0" borderId="0"/>
    <xf numFmtId="0" fontId="50" fillId="0" borderId="0" applyNumberFormat="0" applyFill="0" applyBorder="0" applyAlignment="0" applyProtection="0"/>
  </cellStyleXfs>
  <cellXfs count="931">
    <xf numFmtId="0" fontId="0" fillId="0" borderId="0" xfId="0"/>
    <xf numFmtId="4" fontId="3" fillId="0" borderId="1" xfId="0" applyNumberFormat="1" applyFont="1" applyBorder="1" applyAlignment="1" applyProtection="1">
      <alignment vertical="center" wrapText="1"/>
      <protection locked="0"/>
    </xf>
    <xf numFmtId="4" fontId="3" fillId="0" borderId="2" xfId="0" applyNumberFormat="1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4" fontId="4" fillId="0" borderId="2" xfId="0" applyNumberFormat="1" applyFont="1" applyBorder="1" applyAlignment="1" applyProtection="1">
      <alignment horizontal="center" vertical="center" wrapText="1"/>
      <protection locked="0"/>
    </xf>
    <xf numFmtId="4" fontId="3" fillId="0" borderId="2" xfId="0" applyNumberFormat="1" applyFont="1" applyBorder="1" applyAlignment="1" applyProtection="1">
      <alignment vertical="center" wrapText="1"/>
      <protection locked="0"/>
    </xf>
    <xf numFmtId="4" fontId="4" fillId="0" borderId="2" xfId="0" applyNumberFormat="1" applyFont="1" applyBorder="1" applyAlignment="1" applyProtection="1">
      <alignment vertical="center" wrapText="1"/>
      <protection locked="0"/>
    </xf>
    <xf numFmtId="4" fontId="3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49" fontId="8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protection locked="0"/>
    </xf>
    <xf numFmtId="0" fontId="3" fillId="0" borderId="2" xfId="0" applyFont="1" applyBorder="1" applyAlignment="1" applyProtection="1">
      <alignment textRotation="90" wrapText="1"/>
      <protection locked="0"/>
    </xf>
    <xf numFmtId="0" fontId="6" fillId="2" borderId="7" xfId="0" applyFont="1" applyFill="1" applyBorder="1" applyAlignment="1" applyProtection="1">
      <alignment vertical="center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0" fontId="6" fillId="2" borderId="8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Protection="1">
      <protection locked="0"/>
    </xf>
    <xf numFmtId="0" fontId="6" fillId="3" borderId="5" xfId="0" applyFont="1" applyFill="1" applyBorder="1" applyProtection="1">
      <protection locked="0"/>
    </xf>
    <xf numFmtId="0" fontId="10" fillId="3" borderId="5" xfId="0" applyFont="1" applyFill="1" applyBorder="1" applyProtection="1">
      <protection locked="0"/>
    </xf>
    <xf numFmtId="0" fontId="6" fillId="3" borderId="5" xfId="0" applyFont="1" applyFill="1" applyBorder="1" applyAlignment="1" applyProtection="1">
      <alignment vertical="center"/>
      <protection locked="0"/>
    </xf>
    <xf numFmtId="49" fontId="2" fillId="4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6" fillId="3" borderId="8" xfId="0" applyFont="1" applyFill="1" applyBorder="1" applyProtection="1">
      <protection locked="0"/>
    </xf>
    <xf numFmtId="0" fontId="7" fillId="4" borderId="7" xfId="0" applyFont="1" applyFill="1" applyBorder="1" applyAlignment="1" applyProtection="1">
      <alignment vertical="center"/>
      <protection locked="0"/>
    </xf>
    <xf numFmtId="0" fontId="7" fillId="4" borderId="5" xfId="0" applyFont="1" applyFill="1" applyBorder="1" applyAlignment="1" applyProtection="1">
      <alignment vertical="center"/>
      <protection locked="0"/>
    </xf>
    <xf numFmtId="0" fontId="7" fillId="4" borderId="8" xfId="0" applyFont="1" applyFill="1" applyBorder="1" applyAlignment="1" applyProtection="1">
      <alignment vertical="center"/>
      <protection locked="0"/>
    </xf>
    <xf numFmtId="49" fontId="2" fillId="4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2" xfId="2" applyFont="1" applyBorder="1" applyAlignment="1" applyProtection="1">
      <alignment vertical="center"/>
      <protection locked="0"/>
    </xf>
    <xf numFmtId="4" fontId="3" fillId="0" borderId="2" xfId="2" applyNumberFormat="1" applyFont="1" applyBorder="1" applyAlignment="1" applyProtection="1">
      <alignment horizontal="center" vertical="center"/>
      <protection locked="0"/>
    </xf>
    <xf numFmtId="0" fontId="3" fillId="0" borderId="0" xfId="2" applyFont="1" applyProtection="1">
      <protection locked="0"/>
    </xf>
    <xf numFmtId="0" fontId="4" fillId="0" borderId="2" xfId="2" applyFont="1" applyBorder="1" applyAlignment="1" applyProtection="1">
      <alignment vertical="center"/>
      <protection locked="0"/>
    </xf>
    <xf numFmtId="4" fontId="4" fillId="0" borderId="2" xfId="2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4" fontId="4" fillId="7" borderId="11" xfId="0" applyNumberFormat="1" applyFont="1" applyFill="1" applyBorder="1" applyAlignment="1" applyProtection="1">
      <alignment horizontal="center" vertical="center" wrapText="1"/>
      <protection locked="0"/>
    </xf>
    <xf numFmtId="164" fontId="4" fillId="7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12" xfId="0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4" fillId="0" borderId="2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4" fillId="0" borderId="10" xfId="0" applyFont="1" applyBorder="1" applyProtection="1">
      <protection locked="0"/>
    </xf>
    <xf numFmtId="0" fontId="15" fillId="0" borderId="2" xfId="0" applyFont="1" applyBorder="1" applyProtection="1">
      <protection locked="0"/>
    </xf>
    <xf numFmtId="0" fontId="12" fillId="0" borderId="2" xfId="0" applyFont="1" applyBorder="1" applyAlignment="1" applyProtection="1">
      <alignment vertical="top" wrapText="1"/>
      <protection locked="0"/>
    </xf>
    <xf numFmtId="4" fontId="0" fillId="0" borderId="0" xfId="0" applyNumberFormat="1" applyProtection="1">
      <protection locked="0"/>
    </xf>
    <xf numFmtId="0" fontId="12" fillId="0" borderId="0" xfId="0" applyFont="1" applyAlignment="1" applyProtection="1">
      <alignment vertical="top" wrapText="1"/>
      <protection locked="0"/>
    </xf>
    <xf numFmtId="4" fontId="5" fillId="0" borderId="0" xfId="0" applyNumberFormat="1" applyFont="1" applyProtection="1">
      <protection locked="0"/>
    </xf>
    <xf numFmtId="4" fontId="5" fillId="0" borderId="2" xfId="0" applyNumberFormat="1" applyFont="1" applyBorder="1"/>
    <xf numFmtId="4" fontId="5" fillId="0" borderId="0" xfId="0" applyNumberFormat="1" applyFont="1"/>
    <xf numFmtId="4" fontId="0" fillId="0" borderId="0" xfId="0" applyNumberFormat="1"/>
    <xf numFmtId="0" fontId="20" fillId="0" borderId="2" xfId="0" applyFont="1" applyBorder="1" applyAlignment="1" applyProtection="1">
      <alignment vertical="top" wrapText="1"/>
      <protection locked="0"/>
    </xf>
    <xf numFmtId="4" fontId="21" fillId="0" borderId="2" xfId="0" applyNumberFormat="1" applyFont="1" applyBorder="1" applyProtection="1">
      <protection locked="0"/>
    </xf>
    <xf numFmtId="0" fontId="9" fillId="6" borderId="6" xfId="0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164" fontId="4" fillId="7" borderId="2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wrapText="1"/>
      <protection locked="0"/>
    </xf>
    <xf numFmtId="0" fontId="25" fillId="6" borderId="6" xfId="0" applyFont="1" applyFill="1" applyBorder="1" applyAlignment="1" applyProtection="1">
      <alignment horizontal="center" vertical="center" wrapText="1"/>
      <protection locked="0"/>
    </xf>
    <xf numFmtId="0" fontId="25" fillId="6" borderId="1" xfId="0" applyFont="1" applyFill="1" applyBorder="1" applyAlignment="1" applyProtection="1">
      <alignment horizontal="center" vertical="center" wrapText="1"/>
      <protection locked="0"/>
    </xf>
    <xf numFmtId="0" fontId="26" fillId="3" borderId="5" xfId="0" applyFont="1" applyFill="1" applyBorder="1" applyProtection="1">
      <protection locked="0"/>
    </xf>
    <xf numFmtId="0" fontId="27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Border="1" applyAlignment="1">
      <alignment horizontal="center" vertical="center" wrapText="1"/>
    </xf>
    <xf numFmtId="0" fontId="22" fillId="4" borderId="5" xfId="0" applyFont="1" applyFill="1" applyBorder="1" applyAlignment="1" applyProtection="1">
      <alignment vertical="center"/>
      <protection locked="0"/>
    </xf>
    <xf numFmtId="164" fontId="28" fillId="7" borderId="22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2" xfId="0" applyNumberFormat="1" applyFont="1" applyBorder="1" applyAlignment="1">
      <alignment horizontal="center" vertical="center" wrapText="1"/>
    </xf>
    <xf numFmtId="4" fontId="28" fillId="0" borderId="2" xfId="0" applyNumberFormat="1" applyFont="1" applyBorder="1" applyAlignment="1" applyProtection="1">
      <alignment horizontal="center" vertical="center" wrapText="1"/>
      <protection locked="0"/>
    </xf>
    <xf numFmtId="4" fontId="29" fillId="0" borderId="2" xfId="0" applyNumberFormat="1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horizontal="left" vertical="center" wrapText="1"/>
    </xf>
    <xf numFmtId="4" fontId="29" fillId="0" borderId="20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left" vertical="center" wrapText="1"/>
    </xf>
    <xf numFmtId="4" fontId="29" fillId="0" borderId="8" xfId="0" applyNumberFormat="1" applyFont="1" applyBorder="1" applyAlignment="1">
      <alignment horizontal="center" vertical="center" wrapText="1"/>
    </xf>
    <xf numFmtId="4" fontId="29" fillId="0" borderId="2" xfId="2" applyNumberFormat="1" applyFont="1" applyBorder="1" applyAlignment="1" applyProtection="1">
      <alignment horizontal="center" vertical="center"/>
      <protection locked="0"/>
    </xf>
    <xf numFmtId="49" fontId="3" fillId="8" borderId="0" xfId="0" applyNumberFormat="1" applyFont="1" applyFill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6" fillId="3" borderId="10" xfId="0" applyFont="1" applyFill="1" applyBorder="1" applyProtection="1">
      <protection locked="0"/>
    </xf>
    <xf numFmtId="0" fontId="6" fillId="2" borderId="10" xfId="0" applyFont="1" applyFill="1" applyBorder="1" applyAlignment="1" applyProtection="1">
      <alignment vertical="center"/>
      <protection locked="0"/>
    </xf>
    <xf numFmtId="4" fontId="27" fillId="0" borderId="20" xfId="0" applyNumberFormat="1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center" wrapText="1"/>
    </xf>
    <xf numFmtId="0" fontId="3" fillId="9" borderId="2" xfId="0" applyFont="1" applyFill="1" applyBorder="1" applyAlignment="1" applyProtection="1">
      <alignment vertical="center" wrapText="1"/>
      <protection locked="0"/>
    </xf>
    <xf numFmtId="4" fontId="3" fillId="9" borderId="2" xfId="0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 applyProtection="1">
      <alignment vertical="center" wrapText="1"/>
      <protection locked="0"/>
    </xf>
    <xf numFmtId="4" fontId="4" fillId="9" borderId="2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26" fillId="3" borderId="10" xfId="0" applyFont="1" applyFill="1" applyBorder="1" applyProtection="1">
      <protection locked="0"/>
    </xf>
    <xf numFmtId="49" fontId="2" fillId="3" borderId="1" xfId="0" applyNumberFormat="1" applyFont="1" applyFill="1" applyBorder="1" applyAlignment="1" applyProtection="1">
      <alignment horizontal="center" vertical="center"/>
      <protection locked="0"/>
    </xf>
    <xf numFmtId="49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left" vertical="center" wrapText="1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" fontId="29" fillId="0" borderId="1" xfId="0" applyNumberFormat="1" applyFont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49" fontId="2" fillId="3" borderId="2" xfId="2" applyNumberFormat="1" applyFont="1" applyFill="1" applyBorder="1" applyAlignment="1" applyProtection="1">
      <alignment horizontal="center" vertical="center"/>
      <protection locked="0"/>
    </xf>
    <xf numFmtId="49" fontId="2" fillId="4" borderId="2" xfId="2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Protection="1">
      <protection locked="0"/>
    </xf>
    <xf numFmtId="0" fontId="36" fillId="0" borderId="0" xfId="0" applyFont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2" borderId="5" xfId="0" applyFont="1" applyFill="1" applyBorder="1" applyAlignment="1" applyProtection="1">
      <alignment vertical="center"/>
      <protection locked="0"/>
    </xf>
    <xf numFmtId="49" fontId="6" fillId="3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Protection="1">
      <protection locked="0"/>
    </xf>
    <xf numFmtId="0" fontId="4" fillId="3" borderId="5" xfId="0" applyFont="1" applyFill="1" applyBorder="1" applyProtection="1">
      <protection locked="0"/>
    </xf>
    <xf numFmtId="4" fontId="3" fillId="0" borderId="2" xfId="0" applyNumberFormat="1" applyFont="1" applyBorder="1" applyAlignment="1" applyProtection="1">
      <alignment vertical="center"/>
      <protection locked="0"/>
    </xf>
    <xf numFmtId="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 wrapText="1"/>
      <protection locked="0"/>
    </xf>
    <xf numFmtId="4" fontId="29" fillId="0" borderId="3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 applyProtection="1">
      <alignment vertical="center"/>
      <protection locked="0"/>
    </xf>
    <xf numFmtId="4" fontId="4" fillId="0" borderId="2" xfId="0" applyNumberFormat="1" applyFont="1" applyBorder="1" applyAlignment="1">
      <alignment horizontal="center" vertical="center"/>
    </xf>
    <xf numFmtId="4" fontId="29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vertical="center"/>
      <protection locked="0"/>
    </xf>
    <xf numFmtId="4" fontId="29" fillId="0" borderId="2" xfId="0" applyNumberFormat="1" applyFont="1" applyBorder="1" applyAlignment="1">
      <alignment vertical="center" wrapText="1"/>
    </xf>
    <xf numFmtId="4" fontId="29" fillId="0" borderId="2" xfId="0" applyNumberFormat="1" applyFont="1" applyBorder="1" applyAlignment="1">
      <alignment horizontal="center" vertical="center"/>
    </xf>
    <xf numFmtId="4" fontId="29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 applyProtection="1">
      <alignment vertical="center"/>
      <protection locked="0"/>
    </xf>
    <xf numFmtId="0" fontId="3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4" fontId="4" fillId="7" borderId="2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165" fontId="3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49" fontId="6" fillId="3" borderId="7" xfId="0" applyNumberFormat="1" applyFont="1" applyFill="1" applyBorder="1" applyAlignment="1" applyProtection="1">
      <alignment horizontal="center" vertical="center"/>
      <protection locked="0"/>
    </xf>
    <xf numFmtId="0" fontId="3" fillId="9" borderId="2" xfId="0" applyFont="1" applyFill="1" applyBorder="1" applyAlignment="1" applyProtection="1">
      <alignment horizontal="center" vertical="center"/>
      <protection locked="0"/>
    </xf>
    <xf numFmtId="0" fontId="9" fillId="9" borderId="2" xfId="2" applyFont="1" applyFill="1" applyBorder="1" applyAlignment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/>
      <protection locked="0"/>
    </xf>
    <xf numFmtId="0" fontId="4" fillId="9" borderId="2" xfId="0" applyFont="1" applyFill="1" applyBorder="1" applyAlignment="1">
      <alignment horizontal="center" vertical="center"/>
    </xf>
    <xf numFmtId="4" fontId="4" fillId="9" borderId="2" xfId="0" applyNumberFormat="1" applyFont="1" applyFill="1" applyBorder="1" applyAlignment="1">
      <alignment horizontal="center" vertical="center"/>
    </xf>
    <xf numFmtId="4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 applyProtection="1">
      <alignment horizontal="center" vertical="center"/>
      <protection locked="0"/>
    </xf>
    <xf numFmtId="49" fontId="6" fillId="3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27" fillId="0" borderId="2" xfId="2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49" fontId="6" fillId="3" borderId="2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9" borderId="0" xfId="0" applyFont="1" applyFill="1" applyAlignment="1" applyProtection="1">
      <alignment horizontal="left" vertical="center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4" fontId="24" fillId="0" borderId="2" xfId="0" applyNumberFormat="1" applyFont="1" applyBorder="1" applyAlignment="1" applyProtection="1">
      <alignment horizontal="left" vertical="center"/>
      <protection locked="0"/>
    </xf>
    <xf numFmtId="49" fontId="24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4" fontId="24" fillId="0" borderId="2" xfId="0" applyNumberFormat="1" applyFont="1" applyBorder="1" applyAlignment="1">
      <alignment horizontal="center" vertical="center" wrapText="1"/>
    </xf>
    <xf numFmtId="0" fontId="27" fillId="0" borderId="2" xfId="2" applyFont="1" applyBorder="1" applyAlignment="1">
      <alignment horizontal="left" vertical="center" wrapText="1"/>
    </xf>
    <xf numFmtId="4" fontId="28" fillId="0" borderId="2" xfId="0" applyNumberFormat="1" applyFont="1" applyBorder="1" applyAlignment="1" applyProtection="1">
      <alignment horizontal="left" vertical="center"/>
      <protection locked="0"/>
    </xf>
    <xf numFmtId="49" fontId="28" fillId="0" borderId="2" xfId="0" applyNumberFormat="1" applyFont="1" applyBorder="1" applyAlignment="1">
      <alignment horizontal="center" vertical="center"/>
    </xf>
    <xf numFmtId="2" fontId="28" fillId="0" borderId="2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4" fontId="3" fillId="0" borderId="2" xfId="0" applyNumberFormat="1" applyFont="1" applyBorder="1" applyAlignment="1" applyProtection="1">
      <alignment horizontal="left" vertical="center"/>
      <protection locked="0"/>
    </xf>
    <xf numFmtId="49" fontId="3" fillId="9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 applyProtection="1">
      <alignment horizontal="left" vertical="center"/>
      <protection locked="0"/>
    </xf>
    <xf numFmtId="49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4" fillId="7" borderId="2" xfId="0" applyNumberFormat="1" applyFont="1" applyFill="1" applyBorder="1" applyAlignment="1">
      <alignment wrapText="1"/>
    </xf>
    <xf numFmtId="4" fontId="4" fillId="7" borderId="1" xfId="0" applyNumberFormat="1" applyFont="1" applyFill="1" applyBorder="1" applyAlignment="1">
      <alignment wrapText="1"/>
    </xf>
    <xf numFmtId="0" fontId="15" fillId="7" borderId="1" xfId="0" applyFont="1" applyFill="1" applyBorder="1" applyAlignment="1" applyProtection="1">
      <alignment vertical="center" wrapText="1"/>
      <protection locked="0"/>
    </xf>
    <xf numFmtId="0" fontId="36" fillId="0" borderId="0" xfId="0" applyFont="1" applyProtection="1">
      <protection locked="0"/>
    </xf>
    <xf numFmtId="0" fontId="4" fillId="0" borderId="0" xfId="0" applyFont="1" applyProtection="1">
      <protection locked="0"/>
    </xf>
    <xf numFmtId="4" fontId="4" fillId="0" borderId="2" xfId="0" applyNumberFormat="1" applyFont="1" applyBorder="1" applyAlignment="1">
      <alignment wrapText="1"/>
    </xf>
    <xf numFmtId="4" fontId="4" fillId="0" borderId="2" xfId="0" applyNumberFormat="1" applyFont="1" applyBorder="1" applyAlignment="1" applyProtection="1">
      <alignment wrapText="1"/>
      <protection locked="0"/>
    </xf>
    <xf numFmtId="0" fontId="46" fillId="0" borderId="0" xfId="0" applyFont="1" applyAlignment="1" applyProtection="1">
      <alignment horizontal="center" vertical="center" wrapText="1"/>
      <protection locked="0"/>
    </xf>
    <xf numFmtId="4" fontId="27" fillId="0" borderId="2" xfId="0" applyNumberFormat="1" applyFont="1" applyBorder="1" applyAlignment="1">
      <alignment horizontal="left" vertical="center" wrapText="1"/>
    </xf>
    <xf numFmtId="4" fontId="27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4" fontId="4" fillId="0" borderId="5" xfId="0" applyNumberFormat="1" applyFont="1" applyBorder="1" applyAlignment="1">
      <alignment horizontal="center" vertical="center"/>
    </xf>
    <xf numFmtId="4" fontId="29" fillId="0" borderId="1" xfId="0" applyNumberFormat="1" applyFont="1" applyBorder="1" applyAlignment="1">
      <alignment horizontal="left" vertical="center"/>
    </xf>
    <xf numFmtId="0" fontId="9" fillId="0" borderId="0" xfId="0" applyFont="1" applyAlignment="1" applyProtection="1">
      <alignment vertical="center" wrapText="1"/>
      <protection locked="0"/>
    </xf>
    <xf numFmtId="0" fontId="15" fillId="7" borderId="2" xfId="0" applyFont="1" applyFill="1" applyBorder="1" applyAlignment="1" applyProtection="1">
      <alignment vertical="center" wrapText="1"/>
      <protection locked="0"/>
    </xf>
    <xf numFmtId="4" fontId="3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7" fillId="3" borderId="7" xfId="0" applyFont="1" applyFill="1" applyBorder="1" applyAlignment="1" applyProtection="1">
      <alignment vertical="center"/>
      <protection locked="0"/>
    </xf>
    <xf numFmtId="4" fontId="3" fillId="0" borderId="1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4" fontId="4" fillId="7" borderId="2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4" fontId="49" fillId="0" borderId="2" xfId="0" applyNumberFormat="1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 applyProtection="1">
      <alignment horizontal="center" vertical="center"/>
      <protection locked="0"/>
    </xf>
    <xf numFmtId="2" fontId="4" fillId="0" borderId="2" xfId="0" applyNumberFormat="1" applyFont="1" applyBorder="1" applyAlignment="1" applyProtection="1">
      <alignment horizontal="center" vertical="center"/>
      <protection locked="0"/>
    </xf>
    <xf numFmtId="4" fontId="25" fillId="0" borderId="1" xfId="0" applyNumberFormat="1" applyFont="1" applyBorder="1" applyAlignment="1">
      <alignment vertical="center"/>
    </xf>
    <xf numFmtId="4" fontId="25" fillId="0" borderId="2" xfId="0" applyNumberFormat="1" applyFont="1" applyBorder="1" applyAlignment="1">
      <alignment horizontal="center" vertical="center"/>
    </xf>
    <xf numFmtId="4" fontId="36" fillId="0" borderId="2" xfId="0" applyNumberFormat="1" applyFont="1" applyBorder="1" applyAlignment="1">
      <alignment horizontal="center" vertical="center"/>
    </xf>
    <xf numFmtId="4" fontId="25" fillId="0" borderId="2" xfId="0" applyNumberFormat="1" applyFont="1" applyBorder="1" applyAlignment="1">
      <alignment horizontal="center" vertical="center" wrapText="1"/>
    </xf>
    <xf numFmtId="4" fontId="36" fillId="0" borderId="2" xfId="0" applyNumberFormat="1" applyFont="1" applyBorder="1" applyAlignment="1">
      <alignment vertical="center"/>
    </xf>
    <xf numFmtId="4" fontId="3" fillId="0" borderId="0" xfId="0" applyNumberFormat="1" applyFont="1" applyAlignment="1" applyProtection="1">
      <alignment horizontal="center"/>
      <protection locked="0"/>
    </xf>
    <xf numFmtId="49" fontId="6" fillId="2" borderId="7" xfId="0" applyNumberFormat="1" applyFont="1" applyFill="1" applyBorder="1" applyAlignment="1" applyProtection="1">
      <alignment vertical="center"/>
      <protection locked="0"/>
    </xf>
    <xf numFmtId="49" fontId="6" fillId="2" borderId="5" xfId="0" applyNumberFormat="1" applyFont="1" applyFill="1" applyBorder="1" applyAlignment="1" applyProtection="1">
      <alignment vertical="center"/>
      <protection locked="0"/>
    </xf>
    <xf numFmtId="49" fontId="6" fillId="2" borderId="8" xfId="0" applyNumberFormat="1" applyFont="1" applyFill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vertical="center" wrapText="1"/>
      <protection locked="0"/>
    </xf>
    <xf numFmtId="0" fontId="9" fillId="0" borderId="4" xfId="0" applyFont="1" applyBorder="1" applyAlignment="1" applyProtection="1">
      <alignment vertical="center"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49" fontId="2" fillId="3" borderId="7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4" fontId="3" fillId="0" borderId="2" xfId="0" applyNumberFormat="1" applyFont="1" applyBorder="1" applyAlignment="1">
      <alignment horizontal="center" wrapText="1"/>
    </xf>
    <xf numFmtId="4" fontId="4" fillId="7" borderId="2" xfId="0" applyNumberFormat="1" applyFont="1" applyFill="1" applyBorder="1" applyAlignment="1">
      <alignment horizontal="center" wrapText="1"/>
    </xf>
    <xf numFmtId="4" fontId="4" fillId="0" borderId="2" xfId="0" applyNumberFormat="1" applyFont="1" applyBorder="1" applyAlignment="1">
      <alignment horizontal="center" wrapText="1"/>
    </xf>
    <xf numFmtId="4" fontId="4" fillId="0" borderId="2" xfId="0" applyNumberFormat="1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4" fontId="27" fillId="0" borderId="2" xfId="0" applyNumberFormat="1" applyFont="1" applyBorder="1" applyAlignment="1">
      <alignment horizontal="center" vertical="center"/>
    </xf>
    <xf numFmtId="49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vertical="center"/>
      <protection locked="0"/>
    </xf>
    <xf numFmtId="4" fontId="24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 applyProtection="1">
      <alignment vertical="center"/>
      <protection locked="0"/>
    </xf>
    <xf numFmtId="4" fontId="28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6" fillId="2" borderId="15" xfId="2" applyNumberFormat="1" applyFont="1" applyFill="1" applyBorder="1" applyAlignment="1" applyProtection="1">
      <alignment vertical="center"/>
      <protection locked="0"/>
    </xf>
    <xf numFmtId="49" fontId="6" fillId="2" borderId="10" xfId="2" applyNumberFormat="1" applyFont="1" applyFill="1" applyBorder="1" applyAlignment="1" applyProtection="1">
      <alignment vertical="center"/>
      <protection locked="0"/>
    </xf>
    <xf numFmtId="49" fontId="6" fillId="2" borderId="16" xfId="2" applyNumberFormat="1" applyFont="1" applyFill="1" applyBorder="1" applyAlignment="1" applyProtection="1">
      <alignment vertical="center"/>
      <protection locked="0"/>
    </xf>
    <xf numFmtId="49" fontId="2" fillId="3" borderId="2" xfId="2" applyNumberFormat="1" applyFont="1" applyFill="1" applyBorder="1" applyAlignment="1" applyProtection="1">
      <alignment horizontal="center"/>
      <protection locked="0"/>
    </xf>
    <xf numFmtId="0" fontId="7" fillId="4" borderId="7" xfId="2" applyFont="1" applyFill="1" applyBorder="1" applyAlignment="1" applyProtection="1">
      <alignment vertical="center"/>
      <protection locked="0"/>
    </xf>
    <xf numFmtId="0" fontId="7" fillId="4" borderId="5" xfId="2" applyFont="1" applyFill="1" applyBorder="1" applyAlignment="1" applyProtection="1">
      <alignment vertical="center"/>
      <protection locked="0"/>
    </xf>
    <xf numFmtId="0" fontId="7" fillId="4" borderId="8" xfId="2" applyFont="1" applyFill="1" applyBorder="1" applyAlignment="1" applyProtection="1">
      <alignment vertical="center"/>
      <protection locked="0"/>
    </xf>
    <xf numFmtId="0" fontId="9" fillId="0" borderId="2" xfId="2" applyFont="1" applyBorder="1" applyAlignment="1">
      <alignment vertical="center"/>
    </xf>
    <xf numFmtId="4" fontId="9" fillId="0" borderId="2" xfId="2" applyNumberFormat="1" applyFont="1" applyBorder="1" applyAlignment="1">
      <alignment horizontal="center" vertical="center"/>
    </xf>
    <xf numFmtId="4" fontId="3" fillId="0" borderId="2" xfId="3" applyNumberFormat="1" applyFont="1" applyBorder="1" applyAlignment="1">
      <alignment horizontal="center" vertical="center" wrapText="1"/>
    </xf>
    <xf numFmtId="0" fontId="53" fillId="0" borderId="2" xfId="2" applyFont="1" applyBorder="1" applyAlignment="1">
      <alignment vertical="center"/>
    </xf>
    <xf numFmtId="4" fontId="53" fillId="0" borderId="2" xfId="2" applyNumberFormat="1" applyFont="1" applyBorder="1" applyAlignment="1">
      <alignment horizontal="center" vertical="center"/>
    </xf>
    <xf numFmtId="4" fontId="4" fillId="0" borderId="2" xfId="3" applyNumberFormat="1" applyFont="1" applyBorder="1" applyAlignment="1">
      <alignment horizontal="center" vertical="center" wrapText="1"/>
    </xf>
    <xf numFmtId="4" fontId="29" fillId="0" borderId="1" xfId="3" applyNumberFormat="1" applyFont="1" applyBorder="1" applyAlignment="1">
      <alignment horizontal="center" vertical="center" wrapText="1"/>
    </xf>
    <xf numFmtId="49" fontId="6" fillId="3" borderId="2" xfId="2" applyNumberFormat="1" applyFont="1" applyFill="1" applyBorder="1" applyAlignment="1" applyProtection="1">
      <alignment horizontal="center" vertical="center"/>
      <protection locked="0"/>
    </xf>
    <xf numFmtId="0" fontId="7" fillId="4" borderId="5" xfId="2" applyFont="1" applyFill="1" applyBorder="1" applyAlignment="1" applyProtection="1">
      <alignment horizontal="left" vertical="center"/>
      <protection locked="0"/>
    </xf>
    <xf numFmtId="0" fontId="7" fillId="4" borderId="8" xfId="2" applyFont="1" applyFill="1" applyBorder="1" applyAlignment="1" applyProtection="1">
      <alignment horizontal="left" vertical="center"/>
      <protection locked="0"/>
    </xf>
    <xf numFmtId="4" fontId="9" fillId="0" borderId="2" xfId="2" applyNumberFormat="1" applyFont="1" applyBorder="1" applyAlignment="1">
      <alignment vertical="center"/>
    </xf>
    <xf numFmtId="4" fontId="53" fillId="0" borderId="2" xfId="2" applyNumberFormat="1" applyFont="1" applyBorder="1" applyAlignment="1">
      <alignment vertical="center"/>
    </xf>
    <xf numFmtId="4" fontId="9" fillId="0" borderId="5" xfId="2" applyNumberFormat="1" applyFont="1" applyBorder="1" applyAlignment="1">
      <alignment horizontal="center" vertical="center"/>
    </xf>
    <xf numFmtId="166" fontId="9" fillId="0" borderId="2" xfId="2" applyNumberFormat="1" applyFont="1" applyBorder="1" applyAlignment="1">
      <alignment horizontal="center" vertical="center"/>
    </xf>
    <xf numFmtId="4" fontId="9" fillId="0" borderId="2" xfId="2" applyNumberFormat="1" applyFont="1" applyBorder="1" applyAlignment="1" applyProtection="1">
      <alignment vertical="center"/>
      <protection locked="0"/>
    </xf>
    <xf numFmtId="4" fontId="9" fillId="0" borderId="2" xfId="2" applyNumberFormat="1" applyFont="1" applyBorder="1" applyAlignment="1" applyProtection="1">
      <alignment horizontal="center" vertical="center"/>
      <protection locked="0"/>
    </xf>
    <xf numFmtId="4" fontId="3" fillId="0" borderId="2" xfId="3" applyNumberFormat="1" applyFont="1" applyBorder="1" applyAlignment="1" applyProtection="1">
      <alignment horizontal="center" vertical="center" wrapText="1"/>
      <protection locked="0"/>
    </xf>
    <xf numFmtId="4" fontId="53" fillId="0" borderId="2" xfId="2" applyNumberFormat="1" applyFont="1" applyBorder="1" applyAlignment="1" applyProtection="1">
      <alignment vertical="center"/>
      <protection locked="0"/>
    </xf>
    <xf numFmtId="4" fontId="53" fillId="0" borderId="2" xfId="2" applyNumberFormat="1" applyFont="1" applyBorder="1" applyAlignment="1" applyProtection="1">
      <alignment horizontal="center" vertical="center"/>
      <protection locked="0"/>
    </xf>
    <xf numFmtId="164" fontId="53" fillId="0" borderId="2" xfId="2" applyNumberFormat="1" applyFont="1" applyBorder="1" applyAlignment="1" applyProtection="1">
      <alignment horizontal="center" vertical="center"/>
      <protection locked="0"/>
    </xf>
    <xf numFmtId="166" fontId="9" fillId="0" borderId="2" xfId="2" applyNumberFormat="1" applyFont="1" applyBorder="1" applyAlignment="1" applyProtection="1">
      <alignment horizontal="center" vertical="center"/>
      <protection locked="0"/>
    </xf>
    <xf numFmtId="4" fontId="29" fillId="0" borderId="2" xfId="3" applyNumberFormat="1" applyFont="1" applyBorder="1" applyAlignment="1">
      <alignment horizontal="left" vertical="center" wrapText="1"/>
    </xf>
    <xf numFmtId="4" fontId="29" fillId="0" borderId="2" xfId="3" applyNumberFormat="1" applyFont="1" applyBorder="1" applyAlignment="1">
      <alignment horizontal="center" vertical="center" wrapText="1"/>
    </xf>
    <xf numFmtId="4" fontId="27" fillId="0" borderId="2" xfId="3" applyNumberFormat="1" applyFont="1" applyBorder="1" applyAlignment="1">
      <alignment horizontal="center" vertical="center" wrapText="1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4" fontId="27" fillId="0" borderId="2" xfId="3" applyNumberFormat="1" applyFont="1" applyBorder="1" applyAlignment="1">
      <alignment horizontal="left" vertical="center" wrapText="1"/>
    </xf>
    <xf numFmtId="0" fontId="4" fillId="0" borderId="2" xfId="2" applyFont="1" applyBorder="1" applyAlignment="1" applyProtection="1">
      <alignment horizontal="center" vertical="center"/>
      <protection locked="0"/>
    </xf>
    <xf numFmtId="4" fontId="4" fillId="0" borderId="2" xfId="3" applyNumberFormat="1" applyFont="1" applyBorder="1" applyAlignment="1" applyProtection="1">
      <alignment horizontal="center" vertical="center" wrapText="1"/>
      <protection locked="0"/>
    </xf>
    <xf numFmtId="0" fontId="48" fillId="4" borderId="7" xfId="2" applyFont="1" applyFill="1" applyBorder="1" applyAlignment="1" applyProtection="1">
      <alignment horizontal="left" vertical="center"/>
      <protection locked="0"/>
    </xf>
    <xf numFmtId="0" fontId="55" fillId="4" borderId="5" xfId="2" applyFont="1" applyFill="1" applyBorder="1" applyAlignment="1" applyProtection="1">
      <alignment horizontal="left" vertical="center"/>
      <protection locked="0"/>
    </xf>
    <xf numFmtId="4" fontId="25" fillId="0" borderId="2" xfId="2" applyNumberFormat="1" applyFont="1" applyBorder="1" applyAlignment="1">
      <alignment vertical="center"/>
    </xf>
    <xf numFmtId="4" fontId="25" fillId="0" borderId="2" xfId="2" applyNumberFormat="1" applyFont="1" applyBorder="1" applyAlignment="1">
      <alignment horizontal="center" vertical="center"/>
    </xf>
    <xf numFmtId="4" fontId="24" fillId="0" borderId="2" xfId="3" applyNumberFormat="1" applyFont="1" applyBorder="1" applyAlignment="1">
      <alignment horizontal="center" vertical="center" wrapText="1"/>
    </xf>
    <xf numFmtId="4" fontId="36" fillId="0" borderId="2" xfId="2" applyNumberFormat="1" applyFont="1" applyBorder="1" applyAlignment="1" applyProtection="1">
      <alignment vertical="center"/>
      <protection locked="0"/>
    </xf>
    <xf numFmtId="4" fontId="36" fillId="0" borderId="2" xfId="2" applyNumberFormat="1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>
      <alignment vertical="center"/>
    </xf>
    <xf numFmtId="4" fontId="3" fillId="0" borderId="2" xfId="2" applyNumberFormat="1" applyFont="1" applyBorder="1" applyAlignment="1">
      <alignment horizontal="center" vertical="center"/>
    </xf>
    <xf numFmtId="4" fontId="9" fillId="0" borderId="8" xfId="2" applyNumberFormat="1" applyFont="1" applyBorder="1" applyAlignment="1" applyProtection="1">
      <alignment vertical="center"/>
      <protection locked="0"/>
    </xf>
    <xf numFmtId="0" fontId="3" fillId="0" borderId="8" xfId="2" applyFont="1" applyBorder="1" applyAlignment="1">
      <alignment vertical="center"/>
    </xf>
    <xf numFmtId="0" fontId="4" fillId="0" borderId="8" xfId="2" applyFont="1" applyBorder="1" applyAlignment="1" applyProtection="1">
      <alignment vertical="center"/>
      <protection locked="0"/>
    </xf>
    <xf numFmtId="49" fontId="6" fillId="2" borderId="7" xfId="2" applyNumberFormat="1" applyFont="1" applyFill="1" applyBorder="1" applyAlignment="1" applyProtection="1">
      <alignment vertical="center"/>
      <protection locked="0"/>
    </xf>
    <xf numFmtId="49" fontId="6" fillId="2" borderId="5" xfId="2" applyNumberFormat="1" applyFont="1" applyFill="1" applyBorder="1" applyAlignment="1" applyProtection="1">
      <alignment vertical="center"/>
      <protection locked="0"/>
    </xf>
    <xf numFmtId="49" fontId="6" fillId="2" borderId="5" xfId="2" applyNumberFormat="1" applyFont="1" applyFill="1" applyBorder="1" applyAlignment="1" applyProtection="1">
      <alignment vertical="center" wrapText="1"/>
      <protection locked="0"/>
    </xf>
    <xf numFmtId="49" fontId="6" fillId="2" borderId="8" xfId="2" applyNumberFormat="1" applyFont="1" applyFill="1" applyBorder="1" applyAlignment="1" applyProtection="1">
      <alignment vertical="center"/>
      <protection locked="0"/>
    </xf>
    <xf numFmtId="49" fontId="6" fillId="3" borderId="7" xfId="2" applyNumberFormat="1" applyFont="1" applyFill="1" applyBorder="1" applyAlignment="1" applyProtection="1">
      <alignment horizontal="center" vertical="center"/>
      <protection locked="0"/>
    </xf>
    <xf numFmtId="49" fontId="2" fillId="3" borderId="7" xfId="2" applyNumberFormat="1" applyFont="1" applyFill="1" applyBorder="1" applyAlignment="1" applyProtection="1">
      <alignment horizontal="center" vertical="center"/>
      <protection locked="0"/>
    </xf>
    <xf numFmtId="49" fontId="2" fillId="3" borderId="15" xfId="2" applyNumberFormat="1" applyFont="1" applyFill="1" applyBorder="1" applyAlignment="1" applyProtection="1">
      <alignment horizontal="center" vertical="center"/>
      <protection locked="0"/>
    </xf>
    <xf numFmtId="2" fontId="2" fillId="0" borderId="2" xfId="2" applyNumberFormat="1" applyFont="1" applyBorder="1" applyAlignment="1" applyProtection="1">
      <alignment horizontal="center" vertical="center" wrapText="1"/>
      <protection locked="0"/>
    </xf>
    <xf numFmtId="167" fontId="2" fillId="0" borderId="2" xfId="2" applyNumberFormat="1" applyFont="1" applyBorder="1" applyAlignment="1">
      <alignment horizontal="center" vertical="center" wrapText="1"/>
    </xf>
    <xf numFmtId="2" fontId="3" fillId="0" borderId="2" xfId="2" applyNumberFormat="1" applyFont="1" applyBorder="1" applyAlignment="1" applyProtection="1">
      <alignment horizontal="center" vertical="center"/>
      <protection locked="0"/>
    </xf>
    <xf numFmtId="2" fontId="4" fillId="0" borderId="2" xfId="2" applyNumberFormat="1" applyFont="1" applyBorder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center" vertical="center"/>
      <protection locked="0"/>
    </xf>
    <xf numFmtId="49" fontId="3" fillId="0" borderId="0" xfId="2" applyNumberFormat="1" applyFont="1" applyAlignment="1" applyProtection="1">
      <alignment horizontal="center" vertical="center"/>
      <protection locked="0"/>
    </xf>
    <xf numFmtId="0" fontId="2" fillId="0" borderId="0" xfId="2" applyFont="1" applyAlignment="1" applyProtection="1">
      <alignment vertical="center" wrapText="1"/>
      <protection locked="0"/>
    </xf>
    <xf numFmtId="49" fontId="2" fillId="0" borderId="0" xfId="2" applyNumberFormat="1" applyFont="1" applyAlignment="1" applyProtection="1">
      <alignment horizontal="center" vertical="center" wrapText="1"/>
      <protection locked="0"/>
    </xf>
    <xf numFmtId="0" fontId="3" fillId="0" borderId="0" xfId="2" applyFont="1" applyAlignment="1" applyProtection="1">
      <alignment vertical="center"/>
      <protection locked="0"/>
    </xf>
    <xf numFmtId="4" fontId="3" fillId="0" borderId="0" xfId="2" applyNumberFormat="1" applyFont="1" applyProtection="1">
      <protection locked="0"/>
    </xf>
    <xf numFmtId="0" fontId="5" fillId="0" borderId="0" xfId="2" applyFont="1" applyAlignment="1" applyProtection="1">
      <alignment vertical="center" wrapText="1"/>
      <protection locked="0"/>
    </xf>
    <xf numFmtId="2" fontId="6" fillId="0" borderId="2" xfId="2" applyNumberFormat="1" applyFont="1" applyBorder="1" applyAlignment="1" applyProtection="1">
      <alignment horizontal="center" vertical="center" wrapText="1"/>
      <protection locked="0"/>
    </xf>
    <xf numFmtId="167" fontId="6" fillId="0" borderId="2" xfId="2" applyNumberFormat="1" applyFont="1" applyBorder="1" applyAlignment="1">
      <alignment horizontal="center" vertical="center" wrapText="1"/>
    </xf>
    <xf numFmtId="0" fontId="3" fillId="0" borderId="0" xfId="2" applyFont="1" applyAlignment="1" applyProtection="1">
      <alignment wrapText="1"/>
      <protection locked="0"/>
    </xf>
    <xf numFmtId="49" fontId="6" fillId="3" borderId="2" xfId="2" applyNumberFormat="1" applyFont="1" applyFill="1" applyBorder="1" applyAlignment="1" applyProtection="1">
      <alignment horizont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0" fontId="24" fillId="0" borderId="1" xfId="2" applyFont="1" applyBorder="1" applyAlignment="1" applyProtection="1">
      <alignment vertical="center"/>
      <protection locked="0"/>
    </xf>
    <xf numFmtId="4" fontId="24" fillId="0" borderId="1" xfId="2" applyNumberFormat="1" applyFont="1" applyBorder="1" applyAlignment="1" applyProtection="1">
      <alignment horizontal="center" vertical="center"/>
      <protection locked="0"/>
    </xf>
    <xf numFmtId="4" fontId="24" fillId="0" borderId="1" xfId="0" applyNumberFormat="1" applyFont="1" applyBorder="1" applyAlignment="1">
      <alignment horizontal="center" vertical="center" wrapText="1"/>
    </xf>
    <xf numFmtId="4" fontId="24" fillId="0" borderId="15" xfId="0" applyNumberFormat="1" applyFont="1" applyBorder="1" applyAlignment="1" applyProtection="1">
      <alignment horizontal="center" vertical="center" wrapText="1"/>
      <protection locked="0"/>
    </xf>
    <xf numFmtId="4" fontId="24" fillId="0" borderId="2" xfId="2" applyNumberFormat="1" applyFont="1" applyBorder="1" applyAlignment="1" applyProtection="1">
      <alignment horizontal="center" vertical="center"/>
      <protection locked="0"/>
    </xf>
    <xf numFmtId="0" fontId="28" fillId="0" borderId="2" xfId="2" applyFont="1" applyBorder="1" applyAlignment="1" applyProtection="1">
      <alignment vertical="center"/>
      <protection locked="0"/>
    </xf>
    <xf numFmtId="4" fontId="28" fillId="0" borderId="2" xfId="2" applyNumberFormat="1" applyFont="1" applyBorder="1" applyAlignment="1" applyProtection="1">
      <alignment horizontal="center" vertical="center"/>
      <protection locked="0"/>
    </xf>
    <xf numFmtId="0" fontId="57" fillId="0" borderId="0" xfId="2" applyFont="1" applyAlignment="1" applyProtection="1">
      <alignment horizontal="center" vertical="center" wrapText="1"/>
      <protection locked="0"/>
    </xf>
    <xf numFmtId="0" fontId="9" fillId="0" borderId="0" xfId="2" applyFont="1" applyAlignment="1" applyProtection="1">
      <alignment wrapText="1"/>
      <protection locked="0"/>
    </xf>
    <xf numFmtId="4" fontId="24" fillId="0" borderId="1" xfId="0" applyNumberFormat="1" applyFont="1" applyBorder="1" applyAlignment="1" applyProtection="1">
      <alignment horizontal="center" vertical="center" wrapText="1"/>
      <protection locked="0"/>
    </xf>
    <xf numFmtId="2" fontId="24" fillId="0" borderId="2" xfId="2" applyNumberFormat="1" applyFont="1" applyBorder="1" applyAlignment="1" applyProtection="1">
      <alignment horizontal="left" vertical="center"/>
      <protection locked="0"/>
    </xf>
    <xf numFmtId="2" fontId="24" fillId="0" borderId="2" xfId="2" applyNumberFormat="1" applyFont="1" applyBorder="1" applyAlignment="1" applyProtection="1">
      <alignment horizontal="center" vertical="center"/>
      <protection locked="0"/>
    </xf>
    <xf numFmtId="2" fontId="28" fillId="0" borderId="2" xfId="2" applyNumberFormat="1" applyFont="1" applyBorder="1" applyAlignment="1" applyProtection="1">
      <alignment horizontal="left" vertical="center"/>
      <protection locked="0"/>
    </xf>
    <xf numFmtId="2" fontId="28" fillId="0" borderId="2" xfId="2" applyNumberFormat="1" applyFont="1" applyBorder="1" applyAlignment="1" applyProtection="1">
      <alignment horizontal="center" vertical="center"/>
      <protection locked="0"/>
    </xf>
    <xf numFmtId="0" fontId="60" fillId="0" borderId="0" xfId="0" applyFont="1" applyAlignment="1">
      <alignment horizontal="left" vertical="center" wrapText="1"/>
    </xf>
    <xf numFmtId="4" fontId="29" fillId="0" borderId="0" xfId="0" applyNumberFormat="1" applyFont="1" applyAlignment="1">
      <alignment horizontal="center" vertical="center"/>
    </xf>
    <xf numFmtId="0" fontId="15" fillId="0" borderId="0" xfId="0" applyFont="1" applyAlignment="1" applyProtection="1">
      <alignment vertical="center" wrapText="1"/>
      <protection locked="0"/>
    </xf>
    <xf numFmtId="0" fontId="61" fillId="0" borderId="0" xfId="0" applyFont="1" applyAlignment="1">
      <alignment horizontal="left" vertical="center" wrapText="1"/>
    </xf>
    <xf numFmtId="4" fontId="62" fillId="0" borderId="0" xfId="0" applyNumberFormat="1" applyFont="1" applyAlignment="1">
      <alignment horizontal="center" vertical="center"/>
    </xf>
    <xf numFmtId="0" fontId="3" fillId="0" borderId="5" xfId="2" applyFont="1" applyBorder="1" applyAlignment="1" applyProtection="1">
      <alignment horizontal="center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15" fillId="0" borderId="0" xfId="2" applyFont="1" applyAlignment="1" applyProtection="1">
      <alignment horizontal="left" vertical="center" wrapText="1"/>
      <protection locked="0"/>
    </xf>
    <xf numFmtId="0" fontId="3" fillId="0" borderId="0" xfId="2" applyFont="1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0" fontId="47" fillId="3" borderId="7" xfId="0" applyFont="1" applyFill="1" applyBorder="1" applyProtection="1">
      <protection locked="0"/>
    </xf>
    <xf numFmtId="4" fontId="29" fillId="0" borderId="2" xfId="0" applyNumberFormat="1" applyFont="1" applyBorder="1" applyAlignment="1">
      <alignment horizontal="left" vertical="center"/>
    </xf>
    <xf numFmtId="49" fontId="6" fillId="3" borderId="2" xfId="0" applyNumberFormat="1" applyFont="1" applyFill="1" applyBorder="1" applyAlignment="1" applyProtection="1">
      <alignment vertical="center"/>
      <protection locked="0"/>
    </xf>
    <xf numFmtId="0" fontId="63" fillId="0" borderId="0" xfId="0" applyFont="1" applyAlignment="1" applyProtection="1">
      <alignment vertical="center"/>
      <protection locked="0"/>
    </xf>
    <xf numFmtId="49" fontId="63" fillId="0" borderId="0" xfId="0" applyNumberFormat="1" applyFont="1" applyAlignment="1" applyProtection="1">
      <alignment horizontal="center" vertical="center"/>
      <protection locked="0"/>
    </xf>
    <xf numFmtId="0" fontId="64" fillId="0" borderId="0" xfId="0" applyFont="1" applyAlignment="1" applyProtection="1">
      <alignment vertical="center"/>
      <protection locked="0"/>
    </xf>
    <xf numFmtId="49" fontId="64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63" fillId="0" borderId="0" xfId="0" applyFont="1" applyAlignment="1" applyProtection="1">
      <alignment vertical="center" wrapText="1"/>
      <protection locked="0"/>
    </xf>
    <xf numFmtId="49" fontId="63" fillId="0" borderId="0" xfId="0" applyNumberFormat="1" applyFont="1" applyAlignment="1" applyProtection="1">
      <alignment horizontal="center" vertical="center" wrapText="1"/>
      <protection locked="0"/>
    </xf>
    <xf numFmtId="0" fontId="65" fillId="0" borderId="0" xfId="0" applyFont="1" applyAlignment="1" applyProtection="1">
      <alignment vertical="center"/>
      <protection locked="0"/>
    </xf>
    <xf numFmtId="49" fontId="65" fillId="0" borderId="0" xfId="0" applyNumberFormat="1" applyFont="1" applyAlignment="1" applyProtection="1">
      <alignment horizontal="center" vertical="center"/>
      <protection locked="0"/>
    </xf>
    <xf numFmtId="14" fontId="63" fillId="0" borderId="0" xfId="0" applyNumberFormat="1" applyFont="1" applyAlignment="1" applyProtection="1">
      <alignment vertical="center"/>
      <protection locked="0"/>
    </xf>
    <xf numFmtId="2" fontId="9" fillId="9" borderId="2" xfId="2" applyNumberFormat="1" applyFont="1" applyFill="1" applyBorder="1" applyAlignment="1">
      <alignment horizontal="center" vertical="center" wrapText="1"/>
    </xf>
    <xf numFmtId="2" fontId="4" fillId="9" borderId="2" xfId="0" applyNumberFormat="1" applyFont="1" applyFill="1" applyBorder="1" applyAlignment="1">
      <alignment horizontal="center" vertical="center"/>
    </xf>
    <xf numFmtId="49" fontId="9" fillId="9" borderId="2" xfId="2" applyNumberFormat="1" applyFont="1" applyFill="1" applyBorder="1" applyAlignment="1">
      <alignment horizontal="center" vertical="center" wrapText="1"/>
    </xf>
    <xf numFmtId="2" fontId="3" fillId="0" borderId="0" xfId="0" applyNumberFormat="1" applyFont="1" applyProtection="1">
      <protection locked="0"/>
    </xf>
    <xf numFmtId="0" fontId="28" fillId="0" borderId="3" xfId="2" applyFont="1" applyBorder="1" applyAlignment="1" applyProtection="1">
      <alignment vertical="center"/>
      <protection locked="0"/>
    </xf>
    <xf numFmtId="4" fontId="28" fillId="0" borderId="3" xfId="2" applyNumberFormat="1" applyFont="1" applyBorder="1" applyAlignment="1" applyProtection="1">
      <alignment horizontal="center" vertical="center"/>
      <protection locked="0"/>
    </xf>
    <xf numFmtId="4" fontId="28" fillId="0" borderId="13" xfId="2" applyNumberFormat="1" applyFont="1" applyBorder="1" applyAlignment="1" applyProtection="1">
      <alignment horizontal="center" vertical="center"/>
      <protection locked="0"/>
    </xf>
    <xf numFmtId="0" fontId="59" fillId="0" borderId="0" xfId="2" applyFont="1" applyAlignment="1" applyProtection="1">
      <alignment horizontal="center" vertical="center" wrapText="1"/>
      <protection locked="0"/>
    </xf>
    <xf numFmtId="0" fontId="9" fillId="0" borderId="0" xfId="2" applyFont="1" applyAlignment="1" applyProtection="1">
      <alignment horizontal="center" vertical="center" wrapText="1"/>
      <protection locked="0"/>
    </xf>
    <xf numFmtId="0" fontId="25" fillId="0" borderId="2" xfId="2" applyFont="1" applyBorder="1" applyAlignment="1" applyProtection="1">
      <alignment vertical="center"/>
      <protection locked="0"/>
    </xf>
    <xf numFmtId="4" fontId="25" fillId="0" borderId="2" xfId="2" applyNumberFormat="1" applyFont="1" applyBorder="1" applyAlignment="1" applyProtection="1">
      <alignment horizontal="center" vertical="center"/>
      <protection locked="0"/>
    </xf>
    <xf numFmtId="4" fontId="25" fillId="0" borderId="2" xfId="0" applyNumberFormat="1" applyFont="1" applyBorder="1" applyAlignment="1">
      <alignment horizontal="center" wrapText="1"/>
    </xf>
    <xf numFmtId="4" fontId="25" fillId="0" borderId="2" xfId="0" applyNumberFormat="1" applyFont="1" applyBorder="1" applyAlignment="1" applyProtection="1">
      <alignment horizontal="center" vertical="center" wrapText="1"/>
      <protection locked="0"/>
    </xf>
    <xf numFmtId="0" fontId="25" fillId="0" borderId="4" xfId="2" applyFont="1" applyBorder="1" applyAlignment="1" applyProtection="1">
      <alignment horizontal="center" vertical="center" wrapText="1"/>
      <protection locked="0"/>
    </xf>
    <xf numFmtId="0" fontId="25" fillId="0" borderId="0" xfId="2" applyFont="1" applyAlignment="1" applyProtection="1">
      <alignment horizontal="center" vertical="center" wrapText="1"/>
      <protection locked="0"/>
    </xf>
    <xf numFmtId="0" fontId="25" fillId="0" borderId="0" xfId="2" applyFont="1" applyProtection="1">
      <protection locked="0"/>
    </xf>
    <xf numFmtId="0" fontId="36" fillId="0" borderId="2" xfId="2" applyFont="1" applyBorder="1" applyAlignment="1" applyProtection="1">
      <alignment vertical="center"/>
      <protection locked="0"/>
    </xf>
    <xf numFmtId="0" fontId="25" fillId="0" borderId="2" xfId="2" applyFont="1" applyBorder="1" applyAlignment="1" applyProtection="1">
      <alignment horizontal="center" vertical="center" wrapText="1"/>
      <protection locked="0"/>
    </xf>
    <xf numFmtId="0" fontId="4" fillId="0" borderId="3" xfId="2" applyFont="1" applyBorder="1" applyAlignment="1" applyProtection="1">
      <alignment vertical="center"/>
      <protection locked="0"/>
    </xf>
    <xf numFmtId="2" fontId="6" fillId="0" borderId="3" xfId="2" applyNumberFormat="1" applyFont="1" applyBorder="1" applyAlignment="1" applyProtection="1">
      <alignment horizontal="center" vertical="center" wrapText="1"/>
      <protection locked="0"/>
    </xf>
    <xf numFmtId="2" fontId="2" fillId="0" borderId="3" xfId="2" applyNumberFormat="1" applyFont="1" applyBorder="1" applyAlignment="1" applyProtection="1">
      <alignment horizontal="center" vertical="center" wrapText="1"/>
      <protection locked="0"/>
    </xf>
    <xf numFmtId="49" fontId="6" fillId="3" borderId="15" xfId="2" applyNumberFormat="1" applyFont="1" applyFill="1" applyBorder="1" applyAlignment="1" applyProtection="1">
      <alignment horizontal="center" vertical="center"/>
      <protection locked="0"/>
    </xf>
    <xf numFmtId="0" fontId="6" fillId="3" borderId="15" xfId="0" applyFont="1" applyFill="1" applyBorder="1" applyAlignment="1" applyProtection="1">
      <alignment vertical="center"/>
      <protection locked="0"/>
    </xf>
    <xf numFmtId="0" fontId="6" fillId="3" borderId="10" xfId="0" applyFont="1" applyFill="1" applyBorder="1" applyAlignment="1" applyProtection="1">
      <alignment vertical="center"/>
      <protection locked="0"/>
    </xf>
    <xf numFmtId="0" fontId="6" fillId="3" borderId="16" xfId="0" applyFont="1" applyFill="1" applyBorder="1" applyAlignment="1" applyProtection="1">
      <alignment vertical="center"/>
      <protection locked="0"/>
    </xf>
    <xf numFmtId="0" fontId="7" fillId="4" borderId="10" xfId="0" applyFont="1" applyFill="1" applyBorder="1" applyAlignment="1" applyProtection="1">
      <alignment vertical="center"/>
      <protection locked="0"/>
    </xf>
    <xf numFmtId="0" fontId="14" fillId="0" borderId="0" xfId="0" applyFont="1" applyAlignment="1" applyProtection="1">
      <alignment horizontal="left" vertical="center" wrapText="1"/>
      <protection locked="0"/>
    </xf>
    <xf numFmtId="4" fontId="29" fillId="0" borderId="3" xfId="0" applyNumberFormat="1" applyFont="1" applyBorder="1" applyAlignment="1">
      <alignment horizontal="left" vertical="center" wrapText="1"/>
    </xf>
    <xf numFmtId="4" fontId="29" fillId="0" borderId="1" xfId="0" applyNumberFormat="1" applyFont="1" applyBorder="1" applyAlignment="1">
      <alignment horizontal="left" vertical="center" wrapText="1"/>
    </xf>
    <xf numFmtId="4" fontId="29" fillId="0" borderId="3" xfId="0" applyNumberFormat="1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23" xfId="0" applyFont="1" applyBorder="1" applyAlignment="1">
      <alignment horizontal="left" vertical="center" wrapText="1"/>
    </xf>
    <xf numFmtId="4" fontId="29" fillId="0" borderId="3" xfId="2" applyNumberFormat="1" applyFont="1" applyBorder="1" applyAlignment="1" applyProtection="1">
      <alignment horizontal="center" vertical="center"/>
      <protection locked="0"/>
    </xf>
    <xf numFmtId="4" fontId="29" fillId="0" borderId="23" xfId="2" applyNumberFormat="1" applyFont="1" applyBorder="1" applyAlignment="1" applyProtection="1">
      <alignment horizontal="center" vertical="center"/>
      <protection locked="0"/>
    </xf>
    <xf numFmtId="4" fontId="29" fillId="0" borderId="1" xfId="2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>
      <alignment horizontal="left" vertical="center" wrapText="1"/>
    </xf>
    <xf numFmtId="4" fontId="29" fillId="0" borderId="6" xfId="0" applyNumberFormat="1" applyFont="1" applyBorder="1" applyAlignment="1">
      <alignment horizontal="left" vertical="center" wrapText="1"/>
    </xf>
    <xf numFmtId="4" fontId="29" fillId="0" borderId="6" xfId="0" applyNumberFormat="1" applyFont="1" applyBorder="1" applyAlignment="1">
      <alignment horizontal="center" vertical="center" wrapText="1"/>
    </xf>
    <xf numFmtId="4" fontId="27" fillId="0" borderId="3" xfId="0" applyNumberFormat="1" applyFont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4" fontId="29" fillId="0" borderId="24" xfId="0" applyNumberFormat="1" applyFont="1" applyBorder="1" applyAlignment="1">
      <alignment horizontal="left" vertical="center" wrapText="1"/>
    </xf>
    <xf numFmtId="4" fontId="29" fillId="0" borderId="25" xfId="0" applyNumberFormat="1" applyFont="1" applyBorder="1" applyAlignment="1">
      <alignment horizontal="left" vertical="center" wrapText="1"/>
    </xf>
    <xf numFmtId="4" fontId="29" fillId="0" borderId="9" xfId="0" applyNumberFormat="1" applyFont="1" applyBorder="1" applyAlignment="1">
      <alignment horizontal="center" vertical="center" wrapText="1"/>
    </xf>
    <xf numFmtId="4" fontId="29" fillId="0" borderId="10" xfId="0" applyNumberFormat="1" applyFont="1" applyBorder="1" applyAlignment="1">
      <alignment horizontal="center" vertical="center" wrapText="1"/>
    </xf>
    <xf numFmtId="4" fontId="29" fillId="0" borderId="26" xfId="0" applyNumberFormat="1" applyFont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49" fontId="2" fillId="3" borderId="3" xfId="0" applyNumberFormat="1" applyFont="1" applyFill="1" applyBorder="1" applyAlignment="1" applyProtection="1">
      <alignment horizontal="center"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/>
      <protection locked="0"/>
    </xf>
    <xf numFmtId="49" fontId="2" fillId="4" borderId="3" xfId="0" applyNumberFormat="1" applyFont="1" applyFill="1" applyBorder="1" applyAlignment="1" applyProtection="1">
      <alignment horizontal="center" vertical="center"/>
      <protection locked="0"/>
    </xf>
    <xf numFmtId="49" fontId="2" fillId="4" borderId="1" xfId="0" applyNumberFormat="1" applyFont="1" applyFill="1" applyBorder="1" applyAlignment="1" applyProtection="1">
      <alignment horizontal="center" vertical="center"/>
      <protection locked="0"/>
    </xf>
    <xf numFmtId="49" fontId="2" fillId="5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vertical="center" wrapText="1"/>
      <protection locked="0"/>
    </xf>
    <xf numFmtId="0" fontId="8" fillId="0" borderId="3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2" fillId="9" borderId="3" xfId="0" applyFont="1" applyFill="1" applyBorder="1" applyAlignment="1" applyProtection="1">
      <alignment vertical="center" wrapText="1"/>
      <protection locked="0"/>
    </xf>
    <xf numFmtId="0" fontId="2" fillId="9" borderId="1" xfId="0" applyFont="1" applyFill="1" applyBorder="1" applyAlignment="1" applyProtection="1">
      <alignment vertical="center" wrapText="1"/>
      <protection locked="0"/>
    </xf>
    <xf numFmtId="4" fontId="29" fillId="0" borderId="6" xfId="2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9" borderId="3" xfId="0" applyNumberFormat="1" applyFont="1" applyFill="1" applyBorder="1" applyAlignment="1" applyProtection="1">
      <alignment horizontal="center" vertical="center" wrapText="1"/>
      <protection locked="0"/>
    </xf>
    <xf numFmtId="49" fontId="8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left" vertical="center"/>
      <protection locked="0"/>
    </xf>
    <xf numFmtId="0" fontId="7" fillId="4" borderId="5" xfId="0" applyFont="1" applyFill="1" applyBorder="1" applyAlignment="1" applyProtection="1">
      <alignment horizontal="left" vertical="center"/>
      <protection locked="0"/>
    </xf>
    <xf numFmtId="0" fontId="7" fillId="4" borderId="8" xfId="0" applyFont="1" applyFill="1" applyBorder="1" applyAlignment="1" applyProtection="1">
      <alignment horizontal="left" vertical="center"/>
      <protection locked="0"/>
    </xf>
    <xf numFmtId="49" fontId="2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Border="1" applyAlignment="1" applyProtection="1">
      <alignment vertical="center" wrapText="1"/>
      <protection locked="0"/>
    </xf>
    <xf numFmtId="49" fontId="8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2" xfId="2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/>
      <protection locked="0"/>
    </xf>
    <xf numFmtId="0" fontId="17" fillId="0" borderId="18" xfId="0" applyFont="1" applyBorder="1" applyAlignment="1" applyProtection="1">
      <alignment horizontal="center" vertical="center"/>
      <protection locked="0"/>
    </xf>
    <xf numFmtId="0" fontId="17" fillId="0" borderId="19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7" fillId="0" borderId="20" xfId="0" applyFont="1" applyBorder="1" applyAlignment="1" applyProtection="1">
      <alignment horizontal="center" vertical="center"/>
      <protection locked="0"/>
    </xf>
    <xf numFmtId="0" fontId="17" fillId="0" borderId="15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horizontal="center" vertical="center"/>
      <protection locked="0"/>
    </xf>
    <xf numFmtId="49" fontId="2" fillId="4" borderId="2" xfId="2" applyNumberFormat="1" applyFont="1" applyFill="1" applyBorder="1" applyAlignment="1" applyProtection="1">
      <alignment horizontal="center" vertical="center"/>
      <protection locked="0"/>
    </xf>
    <xf numFmtId="49" fontId="2" fillId="4" borderId="2" xfId="0" applyNumberFormat="1" applyFont="1" applyFill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vertical="center" wrapText="1"/>
      <protection locked="0"/>
    </xf>
    <xf numFmtId="49" fontId="2" fillId="0" borderId="3" xfId="0" applyNumberFormat="1" applyFont="1" applyBorder="1" applyAlignment="1" applyProtection="1">
      <alignment vertical="center" wrapText="1"/>
      <protection locked="0"/>
    </xf>
    <xf numFmtId="49" fontId="2" fillId="3" borderId="6" xfId="0" applyNumberFormat="1" applyFont="1" applyFill="1" applyBorder="1" applyAlignment="1" applyProtection="1">
      <alignment horizontal="center" vertical="center"/>
      <protection locked="0"/>
    </xf>
    <xf numFmtId="49" fontId="2" fillId="4" borderId="6" xfId="0" applyNumberFormat="1" applyFont="1" applyFill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vertical="center" wrapText="1"/>
      <protection locked="0"/>
    </xf>
    <xf numFmtId="49" fontId="8" fillId="0" borderId="2" xfId="0" applyNumberFormat="1" applyFont="1" applyBorder="1" applyAlignment="1" applyProtection="1">
      <alignment vertical="center" wrapText="1"/>
      <protection locked="0"/>
    </xf>
    <xf numFmtId="49" fontId="2" fillId="0" borderId="2" xfId="2" applyNumberFormat="1" applyFont="1" applyBorder="1" applyAlignment="1" applyProtection="1">
      <alignment horizontal="center" vertical="center" wrapText="1"/>
      <protection locked="0"/>
    </xf>
    <xf numFmtId="49" fontId="2" fillId="0" borderId="13" xfId="0" applyNumberFormat="1" applyFont="1" applyBorder="1" applyAlignment="1" applyProtection="1">
      <alignment horizontal="center" vertical="center"/>
      <protection locked="0"/>
    </xf>
    <xf numFmtId="49" fontId="2" fillId="0" borderId="15" xfId="0" applyNumberFormat="1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 vertical="center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9" borderId="3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5" fillId="9" borderId="3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4" fontId="27" fillId="0" borderId="3" xfId="0" applyNumberFormat="1" applyFont="1" applyBorder="1" applyAlignment="1">
      <alignment horizontal="left" vertical="center" wrapText="1"/>
    </xf>
    <xf numFmtId="4" fontId="27" fillId="0" borderId="1" xfId="0" applyNumberFormat="1" applyFont="1" applyBorder="1" applyAlignment="1">
      <alignment horizontal="left" vertical="center" wrapText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textRotation="90" wrapText="1"/>
      <protection locked="0"/>
    </xf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0" fontId="9" fillId="6" borderId="3" xfId="0" applyFont="1" applyFill="1" applyBorder="1" applyAlignment="1" applyProtection="1">
      <alignment horizontal="center" vertical="center" wrapText="1"/>
      <protection locked="0"/>
    </xf>
    <xf numFmtId="0" fontId="9" fillId="6" borderId="6" xfId="0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16" fillId="7" borderId="21" xfId="0" applyFont="1" applyFill="1" applyBorder="1" applyAlignment="1" applyProtection="1">
      <alignment horizontal="center" vertical="center"/>
      <protection locked="0"/>
    </xf>
    <xf numFmtId="0" fontId="16" fillId="7" borderId="11" xfId="0" applyFont="1" applyFill="1" applyBorder="1" applyAlignment="1" applyProtection="1">
      <alignment horizontal="center" vertical="center"/>
      <protection locked="0"/>
    </xf>
    <xf numFmtId="49" fontId="2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6" borderId="2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0" fillId="0" borderId="5" xfId="0" applyBorder="1" applyProtection="1">
      <protection locked="0"/>
    </xf>
    <xf numFmtId="0" fontId="0" fillId="0" borderId="8" xfId="0" applyBorder="1" applyProtection="1">
      <protection locked="0"/>
    </xf>
    <xf numFmtId="0" fontId="3" fillId="0" borderId="1" xfId="0" applyFont="1" applyBorder="1" applyAlignment="1" applyProtection="1">
      <alignment horizontal="center" textRotation="90" wrapText="1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49" fontId="9" fillId="0" borderId="3" xfId="0" applyNumberFormat="1" applyFont="1" applyBorder="1" applyAlignment="1" applyProtection="1">
      <alignment horizontal="center" textRotation="90" wrapText="1"/>
      <protection locked="0"/>
    </xf>
    <xf numFmtId="49" fontId="11" fillId="0" borderId="6" xfId="0" applyNumberFormat="1" applyFont="1" applyBorder="1" applyAlignment="1" applyProtection="1">
      <alignment horizontal="center"/>
      <protection locked="0"/>
    </xf>
    <xf numFmtId="49" fontId="11" fillId="0" borderId="1" xfId="0" applyNumberFormat="1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textRotation="90" wrapText="1"/>
      <protection locked="0"/>
    </xf>
    <xf numFmtId="49" fontId="2" fillId="0" borderId="2" xfId="0" applyNumberFormat="1" applyFont="1" applyBorder="1" applyAlignment="1" applyProtection="1">
      <alignment horizontal="center" vertical="center" textRotation="90" wrapText="1"/>
      <protection locked="0"/>
    </xf>
    <xf numFmtId="0" fontId="33" fillId="0" borderId="3" xfId="0" applyFont="1" applyBorder="1" applyAlignment="1" applyProtection="1">
      <alignment vertical="center" wrapText="1"/>
      <protection locked="0"/>
    </xf>
    <xf numFmtId="0" fontId="33" fillId="0" borderId="1" xfId="0" applyFont="1" applyBorder="1" applyAlignment="1" applyProtection="1">
      <alignment vertical="center" wrapText="1"/>
      <protection locked="0"/>
    </xf>
    <xf numFmtId="49" fontId="2" fillId="3" borderId="2" xfId="2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32" fillId="0" borderId="3" xfId="0" applyFont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27" fillId="0" borderId="6" xfId="0" applyFont="1" applyBorder="1" applyAlignment="1">
      <alignment horizontal="left" vertical="center" wrapText="1"/>
    </xf>
    <xf numFmtId="0" fontId="32" fillId="0" borderId="14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2" fillId="0" borderId="16" xfId="0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0" fontId="29" fillId="0" borderId="3" xfId="0" applyFont="1" applyBorder="1" applyAlignment="1" applyProtection="1">
      <alignment horizontal="center" vertical="center"/>
      <protection locked="0"/>
    </xf>
    <xf numFmtId="0" fontId="29" fillId="0" borderId="6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49" fontId="8" fillId="0" borderId="6" xfId="0" applyNumberFormat="1" applyFont="1" applyBorder="1" applyAlignment="1" applyProtection="1">
      <alignment horizontal="center" vertical="center"/>
      <protection locked="0"/>
    </xf>
    <xf numFmtId="4" fontId="29" fillId="0" borderId="14" xfId="2" applyNumberFormat="1" applyFont="1" applyBorder="1" applyAlignment="1" applyProtection="1">
      <alignment horizontal="center" vertical="center"/>
      <protection locked="0"/>
    </xf>
    <xf numFmtId="4" fontId="29" fillId="0" borderId="20" xfId="2" applyNumberFormat="1" applyFont="1" applyBorder="1" applyAlignment="1" applyProtection="1">
      <alignment horizontal="center" vertical="center"/>
      <protection locked="0"/>
    </xf>
    <xf numFmtId="4" fontId="29" fillId="0" borderId="16" xfId="2" applyNumberFormat="1" applyFont="1" applyBorder="1" applyAlignment="1" applyProtection="1">
      <alignment horizontal="center" vertical="center"/>
      <protection locked="0"/>
    </xf>
    <xf numFmtId="4" fontId="29" fillId="0" borderId="24" xfId="2" applyNumberFormat="1" applyFont="1" applyBorder="1" applyAlignment="1" applyProtection="1">
      <alignment horizontal="center" vertical="center"/>
      <protection locked="0"/>
    </xf>
    <xf numFmtId="4" fontId="29" fillId="0" borderId="27" xfId="2" applyNumberFormat="1" applyFont="1" applyBorder="1" applyAlignment="1" applyProtection="1">
      <alignment horizontal="center" vertical="center"/>
      <protection locked="0"/>
    </xf>
    <xf numFmtId="4" fontId="29" fillId="0" borderId="25" xfId="2" applyNumberFormat="1" applyFont="1" applyBorder="1" applyAlignment="1" applyProtection="1">
      <alignment horizontal="center" vertical="center"/>
      <protection locked="0"/>
    </xf>
    <xf numFmtId="4" fontId="29" fillId="0" borderId="13" xfId="2" applyNumberFormat="1" applyFont="1" applyBorder="1" applyAlignment="1" applyProtection="1">
      <alignment horizontal="center" vertical="center"/>
      <protection locked="0"/>
    </xf>
    <xf numFmtId="4" fontId="29" fillId="0" borderId="4" xfId="2" applyNumberFormat="1" applyFont="1" applyBorder="1" applyAlignment="1" applyProtection="1">
      <alignment horizontal="center" vertical="center"/>
      <protection locked="0"/>
    </xf>
    <xf numFmtId="4" fontId="29" fillId="0" borderId="15" xfId="2" applyNumberFormat="1" applyFont="1" applyBorder="1" applyAlignment="1" applyProtection="1">
      <alignment horizontal="center" vertical="center"/>
      <protection locked="0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textRotation="90" wrapText="1"/>
      <protection locked="0"/>
    </xf>
    <xf numFmtId="0" fontId="3" fillId="0" borderId="2" xfId="0" applyFont="1" applyBorder="1" applyAlignment="1" applyProtection="1">
      <alignment horizontal="center"/>
      <protection locked="0"/>
    </xf>
    <xf numFmtId="49" fontId="2" fillId="5" borderId="2" xfId="0" applyNumberFormat="1" applyFont="1" applyFill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49" fontId="3" fillId="0" borderId="2" xfId="0" applyNumberFormat="1" applyFont="1" applyBorder="1" applyAlignment="1" applyProtection="1">
      <alignment horizontal="center" textRotation="90" wrapText="1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0" fontId="35" fillId="0" borderId="2" xfId="0" applyFont="1" applyBorder="1" applyProtection="1">
      <protection locked="0"/>
    </xf>
    <xf numFmtId="4" fontId="29" fillId="0" borderId="3" xfId="0" applyNumberFormat="1" applyFont="1" applyBorder="1" applyAlignment="1">
      <alignment horizontal="center" vertical="center"/>
    </xf>
    <xf numFmtId="4" fontId="29" fillId="0" borderId="1" xfId="0" applyNumberFormat="1" applyFont="1" applyBorder="1" applyAlignment="1">
      <alignment horizontal="center" vertical="center"/>
    </xf>
    <xf numFmtId="4" fontId="29" fillId="0" borderId="13" xfId="0" applyNumberFormat="1" applyFont="1" applyBorder="1" applyAlignment="1">
      <alignment horizontal="center" vertical="center"/>
    </xf>
    <xf numFmtId="4" fontId="29" fillId="0" borderId="1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2" fillId="0" borderId="3" xfId="0" applyNumberFormat="1" applyFont="1" applyBorder="1" applyAlignment="1" applyProtection="1">
      <alignment horizontal="center" vertical="center" wrapText="1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33" fillId="0" borderId="2" xfId="0" applyFont="1" applyBorder="1" applyAlignment="1" applyProtection="1">
      <alignment horizontal="center" vertical="center" wrapText="1"/>
      <protection locked="0"/>
    </xf>
    <xf numFmtId="4" fontId="29" fillId="0" borderId="6" xfId="0" applyNumberFormat="1" applyFont="1" applyBorder="1" applyAlignment="1">
      <alignment horizontal="center" vertical="center"/>
    </xf>
    <xf numFmtId="0" fontId="6" fillId="3" borderId="7" xfId="0" applyFont="1" applyFill="1" applyBorder="1" applyAlignment="1" applyProtection="1">
      <alignment horizontal="left"/>
      <protection locked="0"/>
    </xf>
    <xf numFmtId="0" fontId="6" fillId="3" borderId="5" xfId="0" applyFont="1" applyFill="1" applyBorder="1" applyAlignment="1" applyProtection="1">
      <alignment horizontal="left"/>
      <protection locked="0"/>
    </xf>
    <xf numFmtId="0" fontId="6" fillId="3" borderId="8" xfId="0" applyFont="1" applyFill="1" applyBorder="1" applyAlignment="1" applyProtection="1">
      <alignment horizontal="left"/>
      <protection locked="0"/>
    </xf>
    <xf numFmtId="0" fontId="37" fillId="9" borderId="3" xfId="0" applyFont="1" applyFill="1" applyBorder="1" applyAlignment="1" applyProtection="1">
      <alignment horizontal="center" vertical="center" wrapText="1"/>
      <protection locked="0"/>
    </xf>
    <xf numFmtId="0" fontId="37" fillId="9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49" fontId="2" fillId="9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3" xfId="0" applyNumberFormat="1" applyFont="1" applyBorder="1" applyAlignment="1" applyProtection="1">
      <alignment horizontal="center" textRotation="90" wrapText="1"/>
      <protection locked="0"/>
    </xf>
    <xf numFmtId="49" fontId="0" fillId="0" borderId="6" xfId="0" applyNumberForma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27" fillId="9" borderId="3" xfId="2" applyFont="1" applyFill="1" applyBorder="1" applyAlignment="1">
      <alignment horizontal="center" vertical="center" wrapText="1"/>
    </xf>
    <xf numFmtId="0" fontId="27" fillId="9" borderId="1" xfId="2" applyFont="1" applyFill="1" applyBorder="1" applyAlignment="1">
      <alignment horizontal="center" vertical="center" wrapText="1"/>
    </xf>
    <xf numFmtId="0" fontId="32" fillId="9" borderId="3" xfId="2" applyFont="1" applyFill="1" applyBorder="1" applyAlignment="1" applyProtection="1">
      <alignment horizontal="center" vertical="center" wrapText="1"/>
      <protection locked="0"/>
    </xf>
    <xf numFmtId="0" fontId="32" fillId="9" borderId="1" xfId="2" applyFont="1" applyFill="1" applyBorder="1" applyAlignment="1" applyProtection="1">
      <alignment horizontal="center" vertical="center" wrapText="1"/>
      <protection locked="0"/>
    </xf>
    <xf numFmtId="0" fontId="25" fillId="0" borderId="4" xfId="0" applyFont="1" applyBorder="1" applyAlignment="1" applyProtection="1">
      <alignment horizontal="center" vertical="center" wrapText="1"/>
      <protection locked="0"/>
    </xf>
    <xf numFmtId="0" fontId="8" fillId="9" borderId="3" xfId="0" applyFont="1" applyFill="1" applyBorder="1" applyAlignment="1" applyProtection="1">
      <alignment horizontal="center" vertical="center" wrapText="1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27" fillId="9" borderId="3" xfId="2" applyFont="1" applyFill="1" applyBorder="1" applyAlignment="1">
      <alignment horizontal="left" vertical="center" wrapText="1"/>
    </xf>
    <xf numFmtId="0" fontId="27" fillId="9" borderId="1" xfId="2" applyFont="1" applyFill="1" applyBorder="1" applyAlignment="1">
      <alignment horizontal="left" vertical="center" wrapText="1"/>
    </xf>
    <xf numFmtId="0" fontId="40" fillId="0" borderId="3" xfId="0" applyFont="1" applyBorder="1" applyAlignment="1" applyProtection="1">
      <alignment horizontal="center" vertical="center" wrapText="1"/>
      <protection locked="0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32" fillId="0" borderId="3" xfId="2" applyFont="1" applyBorder="1" applyAlignment="1" applyProtection="1">
      <alignment horizontal="center" vertical="center" wrapText="1"/>
      <protection locked="0"/>
    </xf>
    <xf numFmtId="0" fontId="32" fillId="0" borderId="1" xfId="2" applyFont="1" applyBorder="1" applyAlignment="1" applyProtection="1">
      <alignment horizontal="center" vertical="center" wrapText="1"/>
      <protection locked="0"/>
    </xf>
    <xf numFmtId="0" fontId="27" fillId="0" borderId="3" xfId="2" applyFont="1" applyBorder="1" applyAlignment="1">
      <alignment horizontal="left" vertical="center" wrapText="1"/>
    </xf>
    <xf numFmtId="0" fontId="27" fillId="0" borderId="6" xfId="2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/>
    </xf>
    <xf numFmtId="0" fontId="27" fillId="0" borderId="3" xfId="2" applyFont="1" applyBorder="1" applyAlignment="1">
      <alignment horizontal="center" vertical="center" wrapText="1"/>
    </xf>
    <xf numFmtId="0" fontId="27" fillId="0" borderId="6" xfId="2" applyFont="1" applyBorder="1" applyAlignment="1">
      <alignment horizontal="center" vertical="center" wrapText="1"/>
    </xf>
    <xf numFmtId="0" fontId="27" fillId="0" borderId="1" xfId="2" applyFont="1" applyBorder="1" applyAlignment="1">
      <alignment horizontal="center" vertical="center" wrapText="1"/>
    </xf>
    <xf numFmtId="0" fontId="39" fillId="0" borderId="3" xfId="0" applyFont="1" applyBorder="1" applyAlignment="1" applyProtection="1">
      <alignment horizontal="center" vertical="center" wrapText="1"/>
      <protection locked="0"/>
    </xf>
    <xf numFmtId="0" fontId="39" fillId="0" borderId="6" xfId="0" applyFont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left" vertical="center"/>
      <protection locked="0"/>
    </xf>
    <xf numFmtId="0" fontId="6" fillId="3" borderId="5" xfId="0" applyFont="1" applyFill="1" applyBorder="1" applyAlignment="1" applyProtection="1">
      <alignment horizontal="left" vertical="center"/>
      <protection locked="0"/>
    </xf>
    <xf numFmtId="0" fontId="6" fillId="3" borderId="8" xfId="0" applyFont="1" applyFill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39" fillId="0" borderId="3" xfId="2" applyFont="1" applyBorder="1" applyAlignment="1" applyProtection="1">
      <alignment horizontal="center" vertical="center" wrapText="1"/>
      <protection locked="0"/>
    </xf>
    <xf numFmtId="0" fontId="44" fillId="0" borderId="3" xfId="0" applyFont="1" applyBorder="1" applyAlignment="1" applyProtection="1">
      <alignment horizontal="center" vertical="center" wrapText="1"/>
      <protection locked="0"/>
    </xf>
    <xf numFmtId="0" fontId="45" fillId="0" borderId="1" xfId="0" applyFont="1" applyBorder="1" applyAlignment="1" applyProtection="1">
      <alignment horizontal="center" vertical="center" wrapText="1"/>
      <protection locked="0"/>
    </xf>
    <xf numFmtId="49" fontId="37" fillId="0" borderId="3" xfId="0" applyNumberFormat="1" applyFont="1" applyBorder="1" applyAlignment="1" applyProtection="1">
      <alignment horizontal="center" vertical="center" wrapText="1"/>
      <protection locked="0"/>
    </xf>
    <xf numFmtId="49" fontId="37" fillId="0" borderId="1" xfId="0" applyNumberFormat="1" applyFont="1" applyBorder="1" applyAlignment="1" applyProtection="1">
      <alignment horizontal="center" vertical="center" wrapText="1"/>
      <protection locked="0"/>
    </xf>
    <xf numFmtId="0" fontId="37" fillId="0" borderId="3" xfId="0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3" fillId="0" borderId="3" xfId="0" applyFont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4" fillId="7" borderId="15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4" fillId="7" borderId="16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0" fontId="29" fillId="0" borderId="1" xfId="0" applyFont="1" applyBorder="1" applyAlignment="1" applyProtection="1">
      <alignment horizontal="center" vertical="center" wrapText="1"/>
      <protection locked="0"/>
    </xf>
    <xf numFmtId="49" fontId="37" fillId="0" borderId="2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37" fillId="0" borderId="13" xfId="0" applyFont="1" applyBorder="1" applyAlignment="1" applyProtection="1">
      <alignment horizontal="center" vertical="center"/>
      <protection locked="0"/>
    </xf>
    <xf numFmtId="0" fontId="37" fillId="0" borderId="4" xfId="0" applyFont="1" applyBorder="1" applyAlignment="1" applyProtection="1">
      <alignment horizontal="center" vertical="center"/>
      <protection locked="0"/>
    </xf>
    <xf numFmtId="0" fontId="37" fillId="0" borderId="15" xfId="0" applyFont="1" applyBorder="1" applyAlignment="1" applyProtection="1">
      <alignment horizontal="center" vertical="center"/>
      <protection locked="0"/>
    </xf>
    <xf numFmtId="0" fontId="35" fillId="0" borderId="5" xfId="0" applyFont="1" applyBorder="1" applyProtection="1">
      <protection locked="0"/>
    </xf>
    <xf numFmtId="0" fontId="35" fillId="0" borderId="8" xfId="0" applyFont="1" applyBorder="1" applyProtection="1">
      <protection locked="0"/>
    </xf>
    <xf numFmtId="0" fontId="35" fillId="0" borderId="6" xfId="0" applyFont="1" applyBorder="1" applyProtection="1">
      <protection locked="0"/>
    </xf>
    <xf numFmtId="0" fontId="35" fillId="0" borderId="1" xfId="0" applyFont="1" applyBorder="1" applyProtection="1"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4" fontId="27" fillId="0" borderId="6" xfId="0" applyNumberFormat="1" applyFont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9" fillId="0" borderId="1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33" fillId="0" borderId="3" xfId="0" applyFont="1" applyBorder="1" applyAlignment="1" applyProtection="1">
      <alignment horizontal="left" vertical="center" wrapText="1"/>
      <protection locked="0"/>
    </xf>
    <xf numFmtId="0" fontId="33" fillId="0" borderId="6" xfId="0" applyFont="1" applyBorder="1" applyAlignment="1" applyProtection="1">
      <alignment horizontal="left" vertical="center" wrapText="1"/>
      <protection locked="0"/>
    </xf>
    <xf numFmtId="0" fontId="33" fillId="0" borderId="1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49" fontId="2" fillId="5" borderId="3" xfId="0" applyNumberFormat="1" applyFont="1" applyFill="1" applyBorder="1" applyAlignment="1" applyProtection="1">
      <alignment horizontal="center" vertical="center"/>
      <protection locked="0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" fontId="27" fillId="0" borderId="3" xfId="0" applyNumberFormat="1" applyFont="1" applyBorder="1" applyAlignment="1">
      <alignment vertical="center" wrapText="1"/>
    </xf>
    <xf numFmtId="4" fontId="27" fillId="0" borderId="6" xfId="0" applyNumberFormat="1" applyFont="1" applyBorder="1" applyAlignment="1">
      <alignment vertical="center" wrapText="1"/>
    </xf>
    <xf numFmtId="4" fontId="27" fillId="0" borderId="1" xfId="0" applyNumberFormat="1" applyFont="1" applyBorder="1" applyAlignment="1">
      <alignment vertical="center" wrapText="1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66" fillId="0" borderId="3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49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49" fontId="2" fillId="10" borderId="3" xfId="0" applyNumberFormat="1" applyFont="1" applyFill="1" applyBorder="1" applyAlignment="1" applyProtection="1">
      <alignment horizontal="center" vertical="center"/>
      <protection locked="0"/>
    </xf>
    <xf numFmtId="49" fontId="2" fillId="10" borderId="6" xfId="0" applyNumberFormat="1" applyFont="1" applyFill="1" applyBorder="1" applyAlignment="1" applyProtection="1">
      <alignment horizontal="center" vertical="center"/>
      <protection locked="0"/>
    </xf>
    <xf numFmtId="49" fontId="2" fillId="10" borderId="1" xfId="0" applyNumberFormat="1" applyFont="1" applyFill="1" applyBorder="1" applyAlignment="1" applyProtection="1">
      <alignment horizontal="center" vertical="center"/>
      <protection locked="0"/>
    </xf>
    <xf numFmtId="49" fontId="2" fillId="11" borderId="3" xfId="0" applyNumberFormat="1" applyFont="1" applyFill="1" applyBorder="1" applyAlignment="1" applyProtection="1">
      <alignment horizontal="center" vertical="center"/>
      <protection locked="0"/>
    </xf>
    <xf numFmtId="49" fontId="2" fillId="11" borderId="6" xfId="0" applyNumberFormat="1" applyFont="1" applyFill="1" applyBorder="1" applyAlignment="1" applyProtection="1">
      <alignment horizontal="center" vertical="center"/>
      <protection locked="0"/>
    </xf>
    <xf numFmtId="49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49" fontId="33" fillId="3" borderId="3" xfId="0" applyNumberFormat="1" applyFont="1" applyFill="1" applyBorder="1" applyAlignment="1" applyProtection="1">
      <alignment horizontal="center" vertical="center"/>
      <protection locked="0"/>
    </xf>
    <xf numFmtId="49" fontId="33" fillId="3" borderId="6" xfId="0" applyNumberFormat="1" applyFont="1" applyFill="1" applyBorder="1" applyAlignment="1" applyProtection="1">
      <alignment horizontal="center" vertical="center"/>
      <protection locked="0"/>
    </xf>
    <xf numFmtId="49" fontId="33" fillId="3" borderId="1" xfId="0" applyNumberFormat="1" applyFont="1" applyFill="1" applyBorder="1" applyAlignment="1" applyProtection="1">
      <alignment horizontal="center" vertical="center"/>
      <protection locked="0"/>
    </xf>
    <xf numFmtId="49" fontId="33" fillId="11" borderId="3" xfId="0" applyNumberFormat="1" applyFont="1" applyFill="1" applyBorder="1" applyAlignment="1" applyProtection="1">
      <alignment horizontal="center" vertical="center"/>
      <protection locked="0"/>
    </xf>
    <xf numFmtId="49" fontId="33" fillId="11" borderId="6" xfId="0" applyNumberFormat="1" applyFont="1" applyFill="1" applyBorder="1" applyAlignment="1" applyProtection="1">
      <alignment horizontal="center" vertical="center"/>
      <protection locked="0"/>
    </xf>
    <xf numFmtId="49" fontId="33" fillId="11" borderId="1" xfId="0" applyNumberFormat="1" applyFont="1" applyFill="1" applyBorder="1" applyAlignment="1" applyProtection="1">
      <alignment horizontal="center" vertical="center"/>
      <protection locked="0"/>
    </xf>
    <xf numFmtId="49" fontId="33" fillId="5" borderId="13" xfId="0" applyNumberFormat="1" applyFont="1" applyFill="1" applyBorder="1" applyAlignment="1" applyProtection="1">
      <alignment horizontal="center" vertical="center" wrapText="1"/>
      <protection locked="0"/>
    </xf>
    <xf numFmtId="49" fontId="33" fillId="5" borderId="4" xfId="0" applyNumberFormat="1" applyFont="1" applyFill="1" applyBorder="1" applyAlignment="1" applyProtection="1">
      <alignment horizontal="center" vertical="center" wrapText="1"/>
      <protection locked="0"/>
    </xf>
    <xf numFmtId="49" fontId="33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2" xfId="0" applyFont="1" applyBorder="1" applyAlignment="1" applyProtection="1">
      <alignment horizontal="left" vertical="center" wrapText="1"/>
      <protection locked="0"/>
    </xf>
    <xf numFmtId="4" fontId="27" fillId="0" borderId="3" xfId="0" applyNumberFormat="1" applyFont="1" applyBorder="1" applyAlignment="1">
      <alignment horizontal="center" vertical="center"/>
    </xf>
    <xf numFmtId="4" fontId="27" fillId="0" borderId="6" xfId="0" applyNumberFormat="1" applyFont="1" applyBorder="1" applyAlignment="1">
      <alignment horizontal="center" vertical="center"/>
    </xf>
    <xf numFmtId="4" fontId="27" fillId="0" borderId="1" xfId="0" applyNumberFormat="1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9" fontId="2" fillId="5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5" borderId="6" xfId="0" applyNumberFormat="1" applyFont="1" applyFill="1" applyBorder="1" applyAlignment="1" applyProtection="1">
      <alignment horizontal="left" vertical="center" wrapText="1"/>
      <protection locked="0"/>
    </xf>
    <xf numFmtId="49" fontId="2" fillId="5" borderId="1" xfId="0" applyNumberFormat="1" applyFont="1" applyFill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27" fillId="0" borderId="2" xfId="0" applyFont="1" applyBorder="1" applyAlignment="1" applyProtection="1">
      <alignment horizontal="left" vertical="center"/>
      <protection locked="0"/>
    </xf>
    <xf numFmtId="49" fontId="33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6" xfId="0" applyFont="1" applyBorder="1" applyAlignment="1" applyProtection="1">
      <alignment horizontal="center" vertical="center" wrapText="1"/>
      <protection locked="0"/>
    </xf>
    <xf numFmtId="49" fontId="33" fillId="0" borderId="2" xfId="0" applyNumberFormat="1" applyFont="1" applyBorder="1" applyAlignment="1" applyProtection="1">
      <alignment horizontal="center" vertical="center"/>
      <protection locked="0"/>
    </xf>
    <xf numFmtId="0" fontId="48" fillId="4" borderId="7" xfId="0" applyFont="1" applyFill="1" applyBorder="1" applyAlignment="1" applyProtection="1">
      <alignment horizontal="left" vertical="center"/>
      <protection locked="0"/>
    </xf>
    <xf numFmtId="0" fontId="48" fillId="4" borderId="5" xfId="0" applyFont="1" applyFill="1" applyBorder="1" applyAlignment="1" applyProtection="1">
      <alignment horizontal="left" vertical="center"/>
      <protection locked="0"/>
    </xf>
    <xf numFmtId="0" fontId="48" fillId="4" borderId="8" xfId="0" applyFont="1" applyFill="1" applyBorder="1" applyAlignment="1" applyProtection="1">
      <alignment horizontal="left" vertical="center"/>
      <protection locked="0"/>
    </xf>
    <xf numFmtId="4" fontId="9" fillId="0" borderId="3" xfId="0" applyNumberFormat="1" applyFont="1" applyBorder="1" applyAlignment="1" applyProtection="1">
      <alignment horizontal="center"/>
      <protection locked="0"/>
    </xf>
    <xf numFmtId="4" fontId="9" fillId="0" borderId="6" xfId="0" applyNumberFormat="1" applyFont="1" applyBorder="1" applyAlignment="1" applyProtection="1">
      <alignment horizontal="center"/>
      <protection locked="0"/>
    </xf>
    <xf numFmtId="4" fontId="9" fillId="0" borderId="1" xfId="0" applyNumberFormat="1" applyFont="1" applyBorder="1" applyAlignment="1" applyProtection="1">
      <alignment horizontal="center"/>
      <protection locked="0"/>
    </xf>
    <xf numFmtId="4" fontId="9" fillId="6" borderId="3" xfId="0" applyNumberFormat="1" applyFont="1" applyFill="1" applyBorder="1" applyAlignment="1" applyProtection="1">
      <alignment horizontal="center" vertical="center" wrapText="1"/>
      <protection locked="0"/>
    </xf>
    <xf numFmtId="4" fontId="9" fillId="6" borderId="6" xfId="0" applyNumberFormat="1" applyFont="1" applyFill="1" applyBorder="1" applyAlignment="1" applyProtection="1">
      <alignment horizontal="center" vertical="center" wrapText="1"/>
      <protection locked="0"/>
    </xf>
    <xf numFmtId="4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3" xfId="0" applyNumberFormat="1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1" xfId="0" applyNumberFormat="1" applyFont="1" applyFill="1" applyBorder="1" applyAlignment="1" applyProtection="1">
      <alignment horizontal="center" vertical="center"/>
      <protection locked="0"/>
    </xf>
    <xf numFmtId="49" fontId="8" fillId="5" borderId="3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3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2" fillId="4" borderId="7" xfId="0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center" vertical="center"/>
      <protection locked="0"/>
    </xf>
    <xf numFmtId="49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7" fillId="0" borderId="3" xfId="0" applyNumberFormat="1" applyFont="1" applyBorder="1" applyAlignment="1" applyProtection="1">
      <alignment horizontal="center" vertical="center"/>
      <protection locked="0"/>
    </xf>
    <xf numFmtId="49" fontId="37" fillId="0" borderId="1" xfId="0" applyNumberFormat="1" applyFont="1" applyBorder="1" applyAlignment="1" applyProtection="1">
      <alignment horizontal="center" vertical="center"/>
      <protection locked="0"/>
    </xf>
    <xf numFmtId="0" fontId="7" fillId="4" borderId="7" xfId="2" applyFont="1" applyFill="1" applyBorder="1" applyAlignment="1" applyProtection="1">
      <alignment horizontal="left" vertical="center"/>
      <protection locked="0"/>
    </xf>
    <xf numFmtId="0" fontId="7" fillId="4" borderId="5" xfId="2" applyFont="1" applyFill="1" applyBorder="1" applyAlignment="1" applyProtection="1">
      <alignment horizontal="left" vertical="center"/>
      <protection locked="0"/>
    </xf>
    <xf numFmtId="0" fontId="7" fillId="4" borderId="8" xfId="2" applyFont="1" applyFill="1" applyBorder="1" applyAlignment="1" applyProtection="1">
      <alignment horizontal="left" vertical="center"/>
      <protection locked="0"/>
    </xf>
    <xf numFmtId="49" fontId="2" fillId="3" borderId="3" xfId="2" applyNumberFormat="1" applyFont="1" applyFill="1" applyBorder="1" applyAlignment="1" applyProtection="1">
      <alignment horizontal="center" vertical="center"/>
      <protection locked="0"/>
    </xf>
    <xf numFmtId="49" fontId="2" fillId="3" borderId="6" xfId="2" applyNumberFormat="1" applyFont="1" applyFill="1" applyBorder="1" applyAlignment="1" applyProtection="1">
      <alignment horizontal="center" vertical="center"/>
      <protection locked="0"/>
    </xf>
    <xf numFmtId="49" fontId="2" fillId="4" borderId="3" xfId="2" applyNumberFormat="1" applyFont="1" applyFill="1" applyBorder="1" applyAlignment="1" applyProtection="1">
      <alignment horizontal="center" vertical="center"/>
      <protection locked="0"/>
    </xf>
    <xf numFmtId="49" fontId="2" fillId="4" borderId="6" xfId="2" applyNumberFormat="1" applyFont="1" applyFill="1" applyBorder="1" applyAlignment="1" applyProtection="1">
      <alignment horizontal="center" vertical="center"/>
      <protection locked="0"/>
    </xf>
    <xf numFmtId="49" fontId="2" fillId="5" borderId="3" xfId="2" applyNumberFormat="1" applyFont="1" applyFill="1" applyBorder="1" applyAlignment="1" applyProtection="1">
      <alignment horizontal="center" vertical="center" wrapText="1"/>
      <protection locked="0"/>
    </xf>
    <xf numFmtId="49" fontId="2" fillId="5" borderId="6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2" applyFont="1" applyBorder="1" applyAlignment="1" applyProtection="1">
      <alignment horizontal="center" vertical="center"/>
      <protection locked="0"/>
    </xf>
    <xf numFmtId="0" fontId="2" fillId="0" borderId="6" xfId="2" applyFont="1" applyBorder="1" applyAlignment="1" applyProtection="1">
      <alignment horizontal="center" vertical="center"/>
      <protection locked="0"/>
    </xf>
    <xf numFmtId="49" fontId="2" fillId="0" borderId="3" xfId="2" applyNumberFormat="1" applyFont="1" applyBorder="1" applyAlignment="1" applyProtection="1">
      <alignment horizontal="center" vertical="center"/>
      <protection locked="0"/>
    </xf>
    <xf numFmtId="49" fontId="2" fillId="0" borderId="6" xfId="2" applyNumberFormat="1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49" fontId="2" fillId="3" borderId="1" xfId="2" applyNumberFormat="1" applyFont="1" applyFill="1" applyBorder="1" applyAlignment="1" applyProtection="1">
      <alignment horizontal="center" vertical="center"/>
      <protection locked="0"/>
    </xf>
    <xf numFmtId="49" fontId="2" fillId="4" borderId="1" xfId="2" applyNumberFormat="1" applyFont="1" applyFill="1" applyBorder="1" applyAlignment="1" applyProtection="1">
      <alignment horizontal="center" vertical="center"/>
      <protection locked="0"/>
    </xf>
    <xf numFmtId="49" fontId="2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2" applyFont="1" applyBorder="1" applyAlignment="1" applyProtection="1">
      <alignment horizontal="center" vertical="center" wrapText="1"/>
      <protection locked="0"/>
    </xf>
    <xf numFmtId="0" fontId="2" fillId="0" borderId="1" xfId="2" applyFont="1" applyBorder="1" applyAlignment="1" applyProtection="1">
      <alignment horizontal="center" vertical="center" wrapText="1"/>
      <protection locked="0"/>
    </xf>
    <xf numFmtId="49" fontId="2" fillId="0" borderId="1" xfId="2" applyNumberFormat="1" applyFont="1" applyBorder="1" applyAlignment="1" applyProtection="1">
      <alignment horizontal="center" vertical="center"/>
      <protection locked="0"/>
    </xf>
    <xf numFmtId="4" fontId="29" fillId="0" borderId="3" xfId="3" applyNumberFormat="1" applyFont="1" applyBorder="1" applyAlignment="1">
      <alignment horizontal="center" vertical="center" wrapText="1"/>
    </xf>
    <xf numFmtId="4" fontId="29" fillId="0" borderId="1" xfId="3" applyNumberFormat="1" applyFont="1" applyBorder="1" applyAlignment="1">
      <alignment horizontal="center" vertical="center" wrapText="1"/>
    </xf>
    <xf numFmtId="0" fontId="9" fillId="6" borderId="3" xfId="2" applyFont="1" applyFill="1" applyBorder="1" applyAlignment="1" applyProtection="1">
      <alignment horizontal="center" vertical="center" wrapText="1"/>
      <protection locked="0"/>
    </xf>
    <xf numFmtId="0" fontId="9" fillId="6" borderId="6" xfId="2" applyFont="1" applyFill="1" applyBorder="1" applyAlignment="1" applyProtection="1">
      <alignment horizontal="center" vertical="center" wrapText="1"/>
      <protection locked="0"/>
    </xf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0" fontId="9" fillId="0" borderId="3" xfId="2" applyFont="1" applyBorder="1" applyAlignment="1" applyProtection="1">
      <alignment horizontal="center" wrapText="1"/>
      <protection locked="0"/>
    </xf>
    <xf numFmtId="0" fontId="9" fillId="0" borderId="6" xfId="2" applyFont="1" applyBorder="1" applyAlignment="1" applyProtection="1">
      <alignment horizontal="center" wrapText="1"/>
      <protection locked="0"/>
    </xf>
    <xf numFmtId="0" fontId="9" fillId="0" borderId="1" xfId="2" applyFont="1" applyBorder="1" applyAlignment="1" applyProtection="1">
      <alignment horizontal="center" wrapText="1"/>
      <protection locked="0"/>
    </xf>
    <xf numFmtId="0" fontId="5" fillId="0" borderId="1" xfId="2" applyFont="1" applyBorder="1" applyAlignment="1" applyProtection="1">
      <alignment horizontal="center" vertical="center" wrapText="1"/>
      <protection locked="0"/>
    </xf>
    <xf numFmtId="4" fontId="27" fillId="0" borderId="3" xfId="3" applyNumberFormat="1" applyFont="1" applyBorder="1" applyAlignment="1">
      <alignment horizontal="left" vertical="center" wrapText="1"/>
    </xf>
    <xf numFmtId="4" fontId="27" fillId="0" borderId="1" xfId="3" applyNumberFormat="1" applyFont="1" applyBorder="1" applyAlignment="1">
      <alignment horizontal="left" vertical="center" wrapText="1"/>
    </xf>
    <xf numFmtId="0" fontId="2" fillId="0" borderId="2" xfId="2" applyFont="1" applyBorder="1" applyAlignment="1" applyProtection="1">
      <alignment horizontal="center" vertical="center" textRotation="90" wrapText="1"/>
      <protection locked="0"/>
    </xf>
    <xf numFmtId="49" fontId="2" fillId="0" borderId="2" xfId="2" applyNumberFormat="1" applyFont="1" applyBorder="1" applyAlignment="1" applyProtection="1">
      <alignment horizontal="center" vertical="center" textRotation="90" wrapText="1"/>
      <protection locked="0"/>
    </xf>
    <xf numFmtId="0" fontId="2" fillId="0" borderId="6" xfId="2" applyFont="1" applyBorder="1" applyAlignment="1" applyProtection="1">
      <alignment horizontal="center" vertical="center" wrapText="1"/>
      <protection locked="0"/>
    </xf>
    <xf numFmtId="4" fontId="54" fillId="0" borderId="3" xfId="3" applyNumberFormat="1" applyFont="1" applyBorder="1" applyAlignment="1">
      <alignment horizontal="left" vertical="center" wrapText="1"/>
    </xf>
    <xf numFmtId="4" fontId="54" fillId="0" borderId="1" xfId="3" applyNumberFormat="1" applyFont="1" applyBorder="1" applyAlignment="1">
      <alignment horizontal="left" vertical="center" wrapText="1"/>
    </xf>
    <xf numFmtId="4" fontId="29" fillId="0" borderId="3" xfId="3" applyNumberFormat="1" applyFont="1" applyBorder="1" applyAlignment="1">
      <alignment horizontal="left" vertical="center" wrapText="1"/>
    </xf>
    <xf numFmtId="4" fontId="29" fillId="0" borderId="1" xfId="3" applyNumberFormat="1" applyFont="1" applyBorder="1" applyAlignment="1">
      <alignment horizontal="left" vertical="center" wrapText="1"/>
    </xf>
    <xf numFmtId="49" fontId="8" fillId="3" borderId="3" xfId="2" applyNumberFormat="1" applyFont="1" applyFill="1" applyBorder="1" applyAlignment="1" applyProtection="1">
      <alignment horizontal="center" vertical="center"/>
      <protection locked="0"/>
    </xf>
    <xf numFmtId="49" fontId="8" fillId="3" borderId="6" xfId="2" applyNumberFormat="1" applyFont="1" applyFill="1" applyBorder="1" applyAlignment="1" applyProtection="1">
      <alignment horizontal="center" vertical="center"/>
      <protection locked="0"/>
    </xf>
    <xf numFmtId="49" fontId="8" fillId="3" borderId="1" xfId="2" applyNumberFormat="1" applyFont="1" applyFill="1" applyBorder="1" applyAlignment="1" applyProtection="1">
      <alignment horizontal="center" vertical="center"/>
      <protection locked="0"/>
    </xf>
    <xf numFmtId="49" fontId="8" fillId="4" borderId="3" xfId="2" applyNumberFormat="1" applyFont="1" applyFill="1" applyBorder="1" applyAlignment="1" applyProtection="1">
      <alignment horizontal="center" vertical="center"/>
      <protection locked="0"/>
    </xf>
    <xf numFmtId="49" fontId="8" fillId="4" borderId="6" xfId="2" applyNumberFormat="1" applyFont="1" applyFill="1" applyBorder="1" applyAlignment="1" applyProtection="1">
      <alignment horizontal="center" vertical="center"/>
      <protection locked="0"/>
    </xf>
    <xf numFmtId="49" fontId="8" fillId="4" borderId="1" xfId="2" applyNumberFormat="1" applyFont="1" applyFill="1" applyBorder="1" applyAlignment="1" applyProtection="1">
      <alignment horizontal="center" vertical="center"/>
      <protection locked="0"/>
    </xf>
    <xf numFmtId="49" fontId="8" fillId="5" borderId="3" xfId="2" applyNumberFormat="1" applyFont="1" applyFill="1" applyBorder="1" applyAlignment="1" applyProtection="1">
      <alignment horizontal="center" vertical="center" wrapText="1"/>
      <protection locked="0"/>
    </xf>
    <xf numFmtId="49" fontId="8" fillId="5" borderId="6" xfId="2" applyNumberFormat="1" applyFont="1" applyFill="1" applyBorder="1" applyAlignment="1" applyProtection="1">
      <alignment horizontal="center" vertical="center" wrapText="1"/>
      <protection locked="0"/>
    </xf>
    <xf numFmtId="49" fontId="8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2" applyFont="1" applyBorder="1" applyAlignment="1" applyProtection="1">
      <alignment horizontal="center" vertical="center" wrapText="1"/>
      <protection locked="0"/>
    </xf>
    <xf numFmtId="0" fontId="8" fillId="0" borderId="6" xfId="2" applyFont="1" applyBorder="1" applyAlignment="1" applyProtection="1">
      <alignment horizontal="center" vertical="center" wrapText="1"/>
      <protection locked="0"/>
    </xf>
    <xf numFmtId="0" fontId="8" fillId="0" borderId="1" xfId="2" applyFont="1" applyBorder="1" applyAlignment="1" applyProtection="1">
      <alignment horizontal="center" vertical="center" wrapText="1"/>
      <protection locked="0"/>
    </xf>
    <xf numFmtId="4" fontId="29" fillId="0" borderId="6" xfId="3" applyNumberFormat="1" applyFont="1" applyBorder="1" applyAlignment="1">
      <alignment horizontal="left" vertical="center" wrapText="1"/>
    </xf>
    <xf numFmtId="4" fontId="29" fillId="0" borderId="6" xfId="3" applyNumberFormat="1" applyFont="1" applyBorder="1" applyAlignment="1">
      <alignment horizontal="center" vertical="center" wrapText="1"/>
    </xf>
    <xf numFmtId="0" fontId="2" fillId="0" borderId="1" xfId="2" applyFont="1" applyBorder="1" applyAlignment="1" applyProtection="1">
      <alignment horizontal="center" vertical="center"/>
      <protection locked="0"/>
    </xf>
    <xf numFmtId="4" fontId="27" fillId="0" borderId="3" xfId="3" applyNumberFormat="1" applyFont="1" applyBorder="1" applyAlignment="1">
      <alignment horizontal="center" vertical="center" wrapText="1"/>
    </xf>
    <xf numFmtId="4" fontId="27" fillId="0" borderId="1" xfId="3" applyNumberFormat="1" applyFont="1" applyBorder="1" applyAlignment="1">
      <alignment horizontal="center" vertical="center" wrapText="1"/>
    </xf>
    <xf numFmtId="49" fontId="2" fillId="0" borderId="13" xfId="2" applyNumberFormat="1" applyFont="1" applyBorder="1" applyAlignment="1" applyProtection="1">
      <alignment horizontal="center" vertical="center" wrapText="1"/>
      <protection locked="0"/>
    </xf>
    <xf numFmtId="49" fontId="2" fillId="0" borderId="15" xfId="2" applyNumberFormat="1" applyFont="1" applyBorder="1" applyAlignment="1" applyProtection="1">
      <alignment horizontal="center" vertical="center" wrapText="1"/>
      <protection locked="0"/>
    </xf>
    <xf numFmtId="0" fontId="2" fillId="0" borderId="2" xfId="2" applyFont="1" applyBorder="1" applyAlignment="1" applyProtection="1">
      <alignment horizontal="center" vertical="center" wrapText="1"/>
      <protection locked="0"/>
    </xf>
    <xf numFmtId="49" fontId="56" fillId="0" borderId="3" xfId="2" applyNumberFormat="1" applyFont="1" applyBorder="1" applyAlignment="1" applyProtection="1">
      <alignment horizontal="center" vertical="center" wrapText="1"/>
      <protection locked="0"/>
    </xf>
    <xf numFmtId="49" fontId="56" fillId="0" borderId="6" xfId="2" applyNumberFormat="1" applyFont="1" applyBorder="1" applyAlignment="1" applyProtection="1">
      <alignment horizontal="center" vertical="center" wrapText="1"/>
      <protection locked="0"/>
    </xf>
    <xf numFmtId="0" fontId="56" fillId="0" borderId="3" xfId="2" applyFont="1" applyBorder="1" applyAlignment="1" applyProtection="1">
      <alignment horizontal="center" vertical="center"/>
      <protection locked="0"/>
    </xf>
    <xf numFmtId="0" fontId="56" fillId="0" borderId="6" xfId="2" applyFont="1" applyBorder="1" applyAlignment="1" applyProtection="1">
      <alignment horizontal="center" vertical="center"/>
      <protection locked="0"/>
    </xf>
    <xf numFmtId="49" fontId="2" fillId="0" borderId="3" xfId="2" applyNumberFormat="1" applyFont="1" applyBorder="1" applyAlignment="1" applyProtection="1">
      <alignment horizontal="center" vertical="center" wrapText="1"/>
      <protection locked="0"/>
    </xf>
    <xf numFmtId="49" fontId="2" fillId="0" borderId="6" xfId="2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horizontal="left" vertical="center"/>
      <protection locked="0"/>
    </xf>
    <xf numFmtId="0" fontId="7" fillId="0" borderId="5" xfId="2" applyFont="1" applyBorder="1" applyAlignment="1" applyProtection="1">
      <alignment horizontal="left" vertical="center"/>
      <protection locked="0"/>
    </xf>
    <xf numFmtId="0" fontId="7" fillId="0" borderId="8" xfId="2" applyFont="1" applyBorder="1" applyAlignment="1" applyProtection="1">
      <alignment horizontal="left" vertical="center"/>
      <protection locked="0"/>
    </xf>
    <xf numFmtId="0" fontId="56" fillId="0" borderId="3" xfId="2" applyFont="1" applyBorder="1" applyAlignment="1" applyProtection="1">
      <alignment horizontal="center" vertical="center" wrapText="1"/>
      <protection locked="0"/>
    </xf>
    <xf numFmtId="0" fontId="56" fillId="0" borderId="6" xfId="2" applyFont="1" applyBorder="1" applyAlignment="1" applyProtection="1">
      <alignment horizontal="center" vertical="center" wrapText="1"/>
      <protection locked="0"/>
    </xf>
    <xf numFmtId="49" fontId="56" fillId="0" borderId="1" xfId="2" applyNumberFormat="1" applyFont="1" applyBorder="1" applyAlignment="1" applyProtection="1">
      <alignment horizontal="center" vertical="center" wrapText="1"/>
      <protection locked="0"/>
    </xf>
    <xf numFmtId="0" fontId="44" fillId="0" borderId="3" xfId="2" applyFont="1" applyBorder="1" applyAlignment="1" applyProtection="1">
      <alignment horizontal="center" vertical="center" wrapText="1"/>
      <protection locked="0"/>
    </xf>
    <xf numFmtId="0" fontId="8" fillId="0" borderId="2" xfId="2" applyFont="1" applyBorder="1" applyAlignment="1" applyProtection="1">
      <alignment horizontal="center" vertical="center" wrapText="1"/>
      <protection locked="0"/>
    </xf>
    <xf numFmtId="0" fontId="29" fillId="0" borderId="3" xfId="2" applyFont="1" applyBorder="1" applyAlignment="1" applyProtection="1">
      <alignment horizontal="center" vertical="center" wrapText="1"/>
      <protection locked="0"/>
    </xf>
    <xf numFmtId="0" fontId="29" fillId="0" borderId="6" xfId="2" applyFont="1" applyBorder="1" applyAlignment="1" applyProtection="1">
      <alignment horizontal="center" vertical="center" wrapText="1"/>
      <protection locked="0"/>
    </xf>
    <xf numFmtId="0" fontId="29" fillId="0" borderId="1" xfId="2" applyFont="1" applyBorder="1" applyAlignment="1" applyProtection="1">
      <alignment horizontal="center" vertical="center" wrapText="1"/>
      <protection locked="0"/>
    </xf>
    <xf numFmtId="49" fontId="37" fillId="3" borderId="3" xfId="2" applyNumberFormat="1" applyFont="1" applyFill="1" applyBorder="1" applyAlignment="1" applyProtection="1">
      <alignment horizontal="center" vertical="center"/>
      <protection locked="0"/>
    </xf>
    <xf numFmtId="49" fontId="37" fillId="3" borderId="1" xfId="2" applyNumberFormat="1" applyFont="1" applyFill="1" applyBorder="1" applyAlignment="1" applyProtection="1">
      <alignment horizontal="center" vertical="center"/>
      <protection locked="0"/>
    </xf>
    <xf numFmtId="49" fontId="37" fillId="4" borderId="3" xfId="2" applyNumberFormat="1" applyFont="1" applyFill="1" applyBorder="1" applyAlignment="1" applyProtection="1">
      <alignment horizontal="center" vertical="center"/>
      <protection locked="0"/>
    </xf>
    <xf numFmtId="49" fontId="37" fillId="4" borderId="1" xfId="2" applyNumberFormat="1" applyFont="1" applyFill="1" applyBorder="1" applyAlignment="1" applyProtection="1">
      <alignment horizontal="center" vertical="center"/>
      <protection locked="0"/>
    </xf>
    <xf numFmtId="49" fontId="37" fillId="5" borderId="3" xfId="2" applyNumberFormat="1" applyFont="1" applyFill="1" applyBorder="1" applyAlignment="1" applyProtection="1">
      <alignment horizontal="center" vertical="center" wrapText="1"/>
      <protection locked="0"/>
    </xf>
    <xf numFmtId="49" fontId="37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37" fillId="0" borderId="3" xfId="2" applyFont="1" applyBorder="1" applyAlignment="1" applyProtection="1">
      <alignment horizontal="center" vertical="center" wrapText="1"/>
      <protection locked="0"/>
    </xf>
    <xf numFmtId="0" fontId="37" fillId="0" borderId="1" xfId="2" applyFont="1" applyBorder="1" applyAlignment="1" applyProtection="1">
      <alignment horizontal="center" vertical="center" wrapText="1"/>
      <protection locked="0"/>
    </xf>
    <xf numFmtId="49" fontId="37" fillId="0" borderId="3" xfId="2" applyNumberFormat="1" applyFont="1" applyBorder="1" applyAlignment="1" applyProtection="1">
      <alignment horizontal="center" vertical="center"/>
      <protection locked="0"/>
    </xf>
    <xf numFmtId="49" fontId="37" fillId="0" borderId="1" xfId="2" applyNumberFormat="1" applyFont="1" applyBorder="1" applyAlignment="1" applyProtection="1">
      <alignment horizontal="center" vertical="center"/>
      <protection locked="0"/>
    </xf>
    <xf numFmtId="0" fontId="37" fillId="0" borderId="6" xfId="2" applyFont="1" applyBorder="1" applyAlignment="1" applyProtection="1">
      <alignment horizontal="center" vertical="center" wrapText="1"/>
      <protection locked="0"/>
    </xf>
    <xf numFmtId="49" fontId="37" fillId="0" borderId="6" xfId="2" applyNumberFormat="1" applyFont="1" applyBorder="1" applyAlignment="1" applyProtection="1">
      <alignment horizontal="center" vertical="center"/>
      <protection locked="0"/>
    </xf>
    <xf numFmtId="0" fontId="37" fillId="0" borderId="6" xfId="0" applyFont="1" applyBorder="1" applyAlignment="1" applyProtection="1">
      <alignment horizontal="center" vertical="center" wrapText="1"/>
      <protection locked="0"/>
    </xf>
    <xf numFmtId="49" fontId="8" fillId="0" borderId="3" xfId="2" applyNumberFormat="1" applyFont="1" applyBorder="1" applyAlignment="1" applyProtection="1">
      <alignment horizontal="center" vertical="center"/>
      <protection locked="0"/>
    </xf>
    <xf numFmtId="49" fontId="8" fillId="0" borderId="6" xfId="2" applyNumberFormat="1" applyFont="1" applyBorder="1" applyAlignment="1" applyProtection="1">
      <alignment horizontal="center" vertical="center"/>
      <protection locked="0"/>
    </xf>
    <xf numFmtId="49" fontId="8" fillId="0" borderId="1" xfId="2" applyNumberFormat="1" applyFont="1" applyBorder="1" applyAlignment="1" applyProtection="1">
      <alignment horizontal="center" vertical="center"/>
      <protection locked="0"/>
    </xf>
    <xf numFmtId="0" fontId="2" fillId="0" borderId="7" xfId="2" applyFont="1" applyBorder="1" applyAlignment="1" applyProtection="1">
      <alignment horizontal="center" vertical="center" textRotation="90" wrapText="1"/>
      <protection locked="0"/>
    </xf>
    <xf numFmtId="0" fontId="9" fillId="6" borderId="2" xfId="2" applyFont="1" applyFill="1" applyBorder="1" applyAlignment="1" applyProtection="1">
      <alignment horizontal="center" vertical="center" wrapText="1"/>
      <protection locked="0"/>
    </xf>
    <xf numFmtId="0" fontId="48" fillId="4" borderId="7" xfId="2" applyFont="1" applyFill="1" applyBorder="1" applyAlignment="1" applyProtection="1">
      <alignment horizontal="left" vertical="center"/>
      <protection locked="0"/>
    </xf>
    <xf numFmtId="0" fontId="48" fillId="4" borderId="5" xfId="2" applyFont="1" applyFill="1" applyBorder="1" applyAlignment="1" applyProtection="1">
      <alignment horizontal="left" vertical="center"/>
      <protection locked="0"/>
    </xf>
    <xf numFmtId="0" fontId="48" fillId="4" borderId="8" xfId="2" applyFont="1" applyFill="1" applyBorder="1" applyAlignment="1" applyProtection="1">
      <alignment horizontal="left" vertical="center"/>
      <protection locked="0"/>
    </xf>
    <xf numFmtId="0" fontId="9" fillId="0" borderId="2" xfId="2" applyFont="1" applyBorder="1" applyAlignment="1" applyProtection="1">
      <alignment horizontal="center"/>
      <protection locked="0"/>
    </xf>
    <xf numFmtId="4" fontId="27" fillId="0" borderId="6" xfId="3" applyNumberFormat="1" applyFont="1" applyBorder="1" applyAlignment="1">
      <alignment horizontal="left" vertical="center" wrapText="1"/>
    </xf>
    <xf numFmtId="0" fontId="9" fillId="0" borderId="4" xfId="2" applyFont="1" applyBorder="1" applyAlignment="1" applyProtection="1">
      <alignment horizontal="center" vertical="center" wrapText="1"/>
      <protection locked="0"/>
    </xf>
    <xf numFmtId="49" fontId="22" fillId="11" borderId="10" xfId="2" applyNumberFormat="1" applyFont="1" applyFill="1" applyBorder="1" applyAlignment="1" applyProtection="1">
      <alignment horizontal="left" vertical="center" wrapText="1"/>
      <protection locked="0"/>
    </xf>
    <xf numFmtId="49" fontId="22" fillId="11" borderId="16" xfId="2" applyNumberFormat="1" applyFont="1" applyFill="1" applyBorder="1" applyAlignment="1" applyProtection="1">
      <alignment horizontal="left" vertical="center" wrapText="1"/>
      <protection locked="0"/>
    </xf>
    <xf numFmtId="49" fontId="2" fillId="0" borderId="1" xfId="2" applyNumberFormat="1" applyFont="1" applyBorder="1" applyAlignment="1" applyProtection="1">
      <alignment horizontal="center" vertical="center" wrapText="1"/>
      <protection locked="0"/>
    </xf>
    <xf numFmtId="49" fontId="23" fillId="0" borderId="3" xfId="2" applyNumberFormat="1" applyFont="1" applyBorder="1" applyAlignment="1" applyProtection="1">
      <alignment horizontal="center" vertical="center" wrapText="1"/>
      <protection locked="0"/>
    </xf>
    <xf numFmtId="49" fontId="23" fillId="0" borderId="1" xfId="2" applyNumberFormat="1" applyFont="1" applyBorder="1" applyAlignment="1" applyProtection="1">
      <alignment horizontal="center" vertical="center" wrapText="1"/>
      <protection locked="0"/>
    </xf>
    <xf numFmtId="0" fontId="27" fillId="0" borderId="3" xfId="2" applyFont="1" applyBorder="1" applyAlignment="1" applyProtection="1">
      <alignment horizontal="center" vertical="center" wrapText="1"/>
      <protection locked="0"/>
    </xf>
    <xf numFmtId="0" fontId="27" fillId="0" borderId="6" xfId="2" applyFont="1" applyBorder="1" applyAlignment="1" applyProtection="1">
      <alignment horizontal="center" vertical="center" wrapText="1"/>
      <protection locked="0"/>
    </xf>
    <xf numFmtId="0" fontId="27" fillId="0" borderId="1" xfId="2" applyFont="1" applyBorder="1" applyAlignment="1" applyProtection="1">
      <alignment horizontal="center" vertical="center" wrapText="1"/>
      <protection locked="0"/>
    </xf>
    <xf numFmtId="49" fontId="37" fillId="3" borderId="6" xfId="2" applyNumberFormat="1" applyFont="1" applyFill="1" applyBorder="1" applyAlignment="1" applyProtection="1">
      <alignment horizontal="center" vertical="center"/>
      <protection locked="0"/>
    </xf>
    <xf numFmtId="49" fontId="33" fillId="4" borderId="3" xfId="2" applyNumberFormat="1" applyFont="1" applyFill="1" applyBorder="1" applyAlignment="1" applyProtection="1">
      <alignment horizontal="center" vertical="center"/>
      <protection locked="0"/>
    </xf>
    <xf numFmtId="49" fontId="33" fillId="4" borderId="6" xfId="2" applyNumberFormat="1" applyFont="1" applyFill="1" applyBorder="1" applyAlignment="1" applyProtection="1">
      <alignment horizontal="center" vertical="center"/>
      <protection locked="0"/>
    </xf>
    <xf numFmtId="49" fontId="33" fillId="4" borderId="1" xfId="2" applyNumberFormat="1" applyFont="1" applyFill="1" applyBorder="1" applyAlignment="1" applyProtection="1">
      <alignment horizontal="center" vertical="center"/>
      <protection locked="0"/>
    </xf>
    <xf numFmtId="49" fontId="33" fillId="0" borderId="3" xfId="2" applyNumberFormat="1" applyFont="1" applyBorder="1" applyAlignment="1" applyProtection="1">
      <alignment horizontal="center" vertical="center"/>
      <protection locked="0"/>
    </xf>
    <xf numFmtId="49" fontId="33" fillId="0" borderId="6" xfId="2" applyNumberFormat="1" applyFont="1" applyBorder="1" applyAlignment="1" applyProtection="1">
      <alignment horizontal="center" vertical="center"/>
      <protection locked="0"/>
    </xf>
    <xf numFmtId="49" fontId="33" fillId="0" borderId="1" xfId="2" applyNumberFormat="1" applyFont="1" applyBorder="1" applyAlignment="1" applyProtection="1">
      <alignment horizontal="center" vertical="center"/>
      <protection locked="0"/>
    </xf>
    <xf numFmtId="0" fontId="33" fillId="0" borderId="3" xfId="2" applyFont="1" applyBorder="1" applyAlignment="1" applyProtection="1">
      <alignment horizontal="center" vertical="center" wrapText="1"/>
      <protection locked="0"/>
    </xf>
    <xf numFmtId="0" fontId="33" fillId="0" borderId="6" xfId="2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 applyProtection="1">
      <alignment horizontal="center" vertical="center" wrapText="1"/>
      <protection locked="0"/>
    </xf>
    <xf numFmtId="0" fontId="33" fillId="0" borderId="3" xfId="2" applyFont="1" applyBorder="1" applyAlignment="1" applyProtection="1">
      <alignment horizontal="center" vertical="center"/>
      <protection locked="0"/>
    </xf>
    <xf numFmtId="0" fontId="33" fillId="0" borderId="6" xfId="2" applyFont="1" applyBorder="1" applyAlignment="1" applyProtection="1">
      <alignment horizontal="center" vertical="center"/>
      <protection locked="0"/>
    </xf>
    <xf numFmtId="0" fontId="33" fillId="0" borderId="1" xfId="2" applyFont="1" applyBorder="1" applyAlignment="1" applyProtection="1">
      <alignment horizontal="center" vertical="center"/>
      <protection locked="0"/>
    </xf>
    <xf numFmtId="0" fontId="34" fillId="0" borderId="1" xfId="2" applyFont="1" applyBorder="1" applyAlignment="1" applyProtection="1">
      <alignment horizontal="center" vertical="center" wrapText="1"/>
      <protection locked="0"/>
    </xf>
    <xf numFmtId="49" fontId="3" fillId="10" borderId="2" xfId="2" applyNumberFormat="1" applyFont="1" applyFill="1" applyBorder="1" applyAlignment="1" applyProtection="1">
      <alignment horizontal="center" vertical="center"/>
      <protection locked="0"/>
    </xf>
    <xf numFmtId="49" fontId="3" fillId="11" borderId="2" xfId="2" applyNumberFormat="1" applyFont="1" applyFill="1" applyBorder="1" applyAlignment="1" applyProtection="1">
      <alignment horizontal="center" vertical="center"/>
      <protection locked="0"/>
    </xf>
    <xf numFmtId="49" fontId="3" fillId="0" borderId="2" xfId="2" applyNumberFormat="1" applyFont="1" applyBorder="1" applyAlignment="1" applyProtection="1">
      <alignment horizontal="center" vertical="center"/>
      <protection locked="0"/>
    </xf>
    <xf numFmtId="49" fontId="8" fillId="0" borderId="3" xfId="2" applyNumberFormat="1" applyFont="1" applyBorder="1" applyAlignment="1" applyProtection="1">
      <alignment horizontal="center" vertical="center" wrapText="1"/>
      <protection locked="0"/>
    </xf>
    <xf numFmtId="49" fontId="8" fillId="0" borderId="6" xfId="2" applyNumberFormat="1" applyFont="1" applyBorder="1" applyAlignment="1" applyProtection="1">
      <alignment horizontal="center" vertical="center" wrapText="1"/>
      <protection locked="0"/>
    </xf>
    <xf numFmtId="49" fontId="8" fillId="0" borderId="1" xfId="2" applyNumberFormat="1" applyFont="1" applyBorder="1" applyAlignment="1" applyProtection="1">
      <alignment horizontal="center" vertical="center" wrapText="1"/>
      <protection locked="0"/>
    </xf>
    <xf numFmtId="0" fontId="9" fillId="0" borderId="3" xfId="2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center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57" fillId="0" borderId="4" xfId="2" applyFont="1" applyBorder="1" applyAlignment="1" applyProtection="1">
      <alignment horizontal="center" vertical="center" wrapText="1"/>
      <protection locked="0"/>
    </xf>
    <xf numFmtId="0" fontId="50" fillId="0" borderId="4" xfId="4" applyFill="1" applyBorder="1" applyAlignment="1" applyProtection="1">
      <alignment horizontal="center" vertical="center" wrapText="1"/>
      <protection locked="0"/>
    </xf>
    <xf numFmtId="0" fontId="58" fillId="0" borderId="4" xfId="0" applyFont="1" applyBorder="1" applyAlignment="1" applyProtection="1">
      <alignment horizontal="center" vertical="center" wrapText="1"/>
      <protection locked="0"/>
    </xf>
    <xf numFmtId="0" fontId="48" fillId="4" borderId="9" xfId="2" applyFont="1" applyFill="1" applyBorder="1" applyAlignment="1" applyProtection="1">
      <alignment horizontal="left" vertical="center"/>
      <protection locked="0"/>
    </xf>
    <xf numFmtId="49" fontId="37" fillId="4" borderId="6" xfId="2" applyNumberFormat="1" applyFont="1" applyFill="1" applyBorder="1" applyAlignment="1" applyProtection="1">
      <alignment horizontal="center" vertical="center"/>
      <protection locked="0"/>
    </xf>
    <xf numFmtId="49" fontId="33" fillId="0" borderId="6" xfId="2" applyNumberFormat="1" applyFont="1" applyBorder="1" applyAlignment="1" applyProtection="1">
      <alignment horizontal="center" vertical="center" wrapText="1"/>
      <protection locked="0"/>
    </xf>
    <xf numFmtId="4" fontId="54" fillId="0" borderId="2" xfId="0" applyNumberFormat="1" applyFont="1" applyBorder="1" applyAlignment="1">
      <alignment horizontal="center" vertical="center" wrapText="1"/>
    </xf>
    <xf numFmtId="4" fontId="54" fillId="0" borderId="3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/>
    </xf>
    <xf numFmtId="0" fontId="27" fillId="0" borderId="14" xfId="2" applyFont="1" applyBorder="1" applyAlignment="1" applyProtection="1">
      <alignment horizontal="center" vertical="center" wrapText="1"/>
      <protection locked="0"/>
    </xf>
    <xf numFmtId="0" fontId="27" fillId="0" borderId="20" xfId="2" applyFont="1" applyBorder="1" applyAlignment="1" applyProtection="1">
      <alignment horizontal="center" vertical="center" wrapText="1"/>
      <protection locked="0"/>
    </xf>
    <xf numFmtId="0" fontId="27" fillId="0" borderId="16" xfId="2" applyFont="1" applyBorder="1" applyAlignment="1" applyProtection="1">
      <alignment horizontal="center" vertical="center" wrapText="1"/>
      <protection locked="0"/>
    </xf>
    <xf numFmtId="49" fontId="33" fillId="3" borderId="3" xfId="2" applyNumberFormat="1" applyFont="1" applyFill="1" applyBorder="1" applyAlignment="1" applyProtection="1">
      <alignment horizontal="center" vertical="center"/>
      <protection locked="0"/>
    </xf>
    <xf numFmtId="49" fontId="33" fillId="3" borderId="1" xfId="2" applyNumberFormat="1" applyFont="1" applyFill="1" applyBorder="1" applyAlignment="1" applyProtection="1">
      <alignment horizontal="center" vertical="center"/>
      <protection locked="0"/>
    </xf>
    <xf numFmtId="49" fontId="33" fillId="0" borderId="3" xfId="2" applyNumberFormat="1" applyFont="1" applyBorder="1" applyAlignment="1" applyProtection="1">
      <alignment horizontal="center" vertical="center" wrapText="1"/>
      <protection locked="0"/>
    </xf>
    <xf numFmtId="49" fontId="33" fillId="0" borderId="1" xfId="2" applyNumberFormat="1" applyFont="1" applyBorder="1" applyAlignment="1" applyProtection="1">
      <alignment horizontal="center" vertical="center" wrapText="1"/>
      <protection locked="0"/>
    </xf>
    <xf numFmtId="0" fontId="48" fillId="4" borderId="10" xfId="2" applyFont="1" applyFill="1" applyBorder="1" applyAlignment="1" applyProtection="1">
      <alignment horizontal="left" vertical="center"/>
      <protection locked="0"/>
    </xf>
    <xf numFmtId="0" fontId="48" fillId="4" borderId="0" xfId="2" applyFont="1" applyFill="1" applyAlignment="1" applyProtection="1">
      <alignment horizontal="left" vertical="center"/>
      <protection locked="0"/>
    </xf>
    <xf numFmtId="0" fontId="48" fillId="4" borderId="16" xfId="2" applyFont="1" applyFill="1" applyBorder="1" applyAlignment="1" applyProtection="1">
      <alignment horizontal="left" vertical="center"/>
      <protection locked="0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5" xfId="2" applyFont="1" applyBorder="1" applyAlignment="1" applyProtection="1">
      <alignment horizontal="center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32" fillId="0" borderId="6" xfId="0" applyFont="1" applyBorder="1" applyAlignment="1" applyProtection="1">
      <alignment horizontal="center" vertical="center" wrapText="1"/>
      <protection locked="0"/>
    </xf>
    <xf numFmtId="0" fontId="59" fillId="0" borderId="4" xfId="2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textRotation="90" wrapText="1"/>
      <protection locked="0"/>
    </xf>
    <xf numFmtId="0" fontId="2" fillId="0" borderId="6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49" fontId="2" fillId="0" borderId="3" xfId="0" applyNumberFormat="1" applyFont="1" applyBorder="1" applyAlignment="1" applyProtection="1">
      <alignment horizontal="center" vertical="center" textRotation="90" wrapText="1"/>
      <protection locked="0"/>
    </xf>
    <xf numFmtId="49" fontId="2" fillId="0" borderId="6" xfId="0" applyNumberFormat="1" applyFont="1" applyBorder="1" applyAlignment="1" applyProtection="1">
      <alignment horizontal="center" vertical="center" textRotation="90" wrapText="1"/>
      <protection locked="0"/>
    </xf>
    <xf numFmtId="49" fontId="2" fillId="0" borderId="1" xfId="0" applyNumberFormat="1" applyFont="1" applyBorder="1" applyAlignment="1" applyProtection="1">
      <alignment horizontal="center" vertical="center" textRotation="90" wrapText="1"/>
      <protection locked="0"/>
    </xf>
    <xf numFmtId="4" fontId="29" fillId="0" borderId="3" xfId="0" applyNumberFormat="1" applyFont="1" applyBorder="1" applyAlignment="1">
      <alignment horizontal="left" vertical="center"/>
    </xf>
    <xf numFmtId="4" fontId="29" fillId="0" borderId="1" xfId="0" applyNumberFormat="1" applyFont="1" applyBorder="1" applyAlignment="1">
      <alignment horizontal="left" vertical="center"/>
    </xf>
    <xf numFmtId="49" fontId="47" fillId="3" borderId="5" xfId="0" applyNumberFormat="1" applyFont="1" applyFill="1" applyBorder="1" applyAlignment="1" applyProtection="1">
      <alignment horizontal="left" vertical="center"/>
      <protection locked="0"/>
    </xf>
    <xf numFmtId="49" fontId="47" fillId="3" borderId="8" xfId="0" applyNumberFormat="1" applyFont="1" applyFill="1" applyBorder="1" applyAlignment="1" applyProtection="1">
      <alignment horizontal="left" vertical="center"/>
      <protection locked="0"/>
    </xf>
    <xf numFmtId="0" fontId="4" fillId="7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Protection="1">
      <protection locked="0"/>
    </xf>
    <xf numFmtId="0" fontId="3" fillId="0" borderId="10" xfId="0" applyFont="1" applyBorder="1" applyProtection="1">
      <protection locked="0"/>
    </xf>
    <xf numFmtId="0" fontId="67" fillId="0" borderId="0" xfId="0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68" fillId="0" borderId="0" xfId="0" applyFont="1" applyAlignment="1">
      <alignment wrapText="1"/>
    </xf>
    <xf numFmtId="4" fontId="69" fillId="0" borderId="13" xfId="0" applyNumberFormat="1" applyFont="1" applyBorder="1" applyAlignment="1">
      <alignment vertical="center" wrapText="1"/>
    </xf>
    <xf numFmtId="4" fontId="69" fillId="0" borderId="15" xfId="0" applyNumberFormat="1" applyFont="1" applyBorder="1" applyAlignment="1">
      <alignment vertical="center" wrapText="1"/>
    </xf>
    <xf numFmtId="4" fontId="69" fillId="0" borderId="3" xfId="0" applyNumberFormat="1" applyFont="1" applyBorder="1" applyAlignment="1">
      <alignment vertical="center" wrapText="1"/>
    </xf>
    <xf numFmtId="4" fontId="69" fillId="0" borderId="1" xfId="0" applyNumberFormat="1" applyFont="1" applyBorder="1" applyAlignment="1">
      <alignment vertical="center" wrapText="1"/>
    </xf>
    <xf numFmtId="4" fontId="70" fillId="0" borderId="3" xfId="0" applyNumberFormat="1" applyFont="1" applyBorder="1" applyAlignment="1">
      <alignment vertical="center" wrapText="1"/>
    </xf>
    <xf numFmtId="4" fontId="69" fillId="0" borderId="3" xfId="0" applyNumberFormat="1" applyFont="1" applyBorder="1" applyAlignment="1">
      <alignment horizontal="left" vertical="center" wrapText="1"/>
    </xf>
    <xf numFmtId="4" fontId="69" fillId="0" borderId="1" xfId="0" applyNumberFormat="1" applyFont="1" applyBorder="1" applyAlignment="1">
      <alignment horizontal="left" vertical="center" wrapText="1"/>
    </xf>
    <xf numFmtId="4" fontId="69" fillId="0" borderId="2" xfId="0" applyNumberFormat="1" applyFont="1" applyBorder="1" applyAlignment="1">
      <alignment vertical="center" wrapText="1"/>
    </xf>
    <xf numFmtId="4" fontId="69" fillId="0" borderId="6" xfId="0" applyNumberFormat="1" applyFont="1" applyBorder="1" applyAlignment="1">
      <alignment horizontal="left" vertical="center" wrapText="1"/>
    </xf>
    <xf numFmtId="4" fontId="70" fillId="0" borderId="3" xfId="0" applyNumberFormat="1" applyFont="1" applyBorder="1" applyAlignment="1">
      <alignment horizontal="left" vertical="center" wrapText="1"/>
    </xf>
    <xf numFmtId="4" fontId="70" fillId="0" borderId="1" xfId="0" applyNumberFormat="1" applyFont="1" applyBorder="1" applyAlignment="1">
      <alignment horizontal="left" vertical="center" wrapText="1"/>
    </xf>
    <xf numFmtId="4" fontId="69" fillId="0" borderId="13" xfId="0" applyNumberFormat="1" applyFont="1" applyBorder="1" applyAlignment="1">
      <alignment horizontal="center" vertical="center"/>
    </xf>
    <xf numFmtId="4" fontId="69" fillId="0" borderId="15" xfId="0" applyNumberFormat="1" applyFont="1" applyBorder="1" applyAlignment="1">
      <alignment horizontal="center" vertical="center"/>
    </xf>
    <xf numFmtId="4" fontId="69" fillId="0" borderId="3" xfId="0" applyNumberFormat="1" applyFont="1" applyBorder="1" applyAlignment="1">
      <alignment horizontal="center" vertical="center"/>
    </xf>
    <xf numFmtId="4" fontId="69" fillId="0" borderId="1" xfId="0" applyNumberFormat="1" applyFont="1" applyBorder="1" applyAlignment="1">
      <alignment horizontal="center" vertical="center"/>
    </xf>
    <xf numFmtId="4" fontId="69" fillId="0" borderId="1" xfId="0" applyNumberFormat="1" applyFont="1" applyBorder="1" applyAlignment="1">
      <alignment vertical="center"/>
    </xf>
    <xf numFmtId="4" fontId="69" fillId="0" borderId="2" xfId="0" applyNumberFormat="1" applyFont="1" applyBorder="1" applyAlignment="1">
      <alignment horizontal="center" vertical="center"/>
    </xf>
    <xf numFmtId="0" fontId="71" fillId="6" borderId="2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vertical="center"/>
      <protection locked="0"/>
    </xf>
    <xf numFmtId="0" fontId="13" fillId="3" borderId="8" xfId="0" applyFont="1" applyFill="1" applyBorder="1" applyProtection="1">
      <protection locked="0"/>
    </xf>
    <xf numFmtId="0" fontId="72" fillId="0" borderId="2" xfId="0" applyFont="1" applyBorder="1" applyAlignment="1" applyProtection="1">
      <alignment horizontal="left" vertical="center" wrapText="1"/>
      <protection locked="0"/>
    </xf>
    <xf numFmtId="0" fontId="72" fillId="0" borderId="3" xfId="0" applyFont="1" applyBorder="1" applyAlignment="1" applyProtection="1">
      <alignment horizontal="center" vertical="center" wrapText="1"/>
      <protection locked="0"/>
    </xf>
    <xf numFmtId="0" fontId="72" fillId="0" borderId="1" xfId="0" applyFont="1" applyBorder="1" applyAlignment="1" applyProtection="1">
      <alignment horizontal="center" vertical="center" wrapText="1"/>
      <protection locked="0"/>
    </xf>
    <xf numFmtId="0" fontId="72" fillId="0" borderId="2" xfId="0" applyFont="1" applyBorder="1" applyAlignment="1" applyProtection="1">
      <alignment horizontal="center" vertical="center" wrapText="1"/>
      <protection locked="0"/>
    </xf>
    <xf numFmtId="0" fontId="72" fillId="0" borderId="6" xfId="0" applyFont="1" applyBorder="1" applyAlignment="1" applyProtection="1">
      <alignment horizontal="center" vertical="center" wrapText="1"/>
      <protection locked="0"/>
    </xf>
    <xf numFmtId="0" fontId="72" fillId="7" borderId="2" xfId="0" applyFont="1" applyFill="1" applyBorder="1" applyAlignment="1" applyProtection="1">
      <alignment vertical="center" wrapText="1"/>
      <protection locked="0"/>
    </xf>
    <xf numFmtId="0" fontId="72" fillId="0" borderId="2" xfId="0" applyFont="1" applyBorder="1" applyAlignment="1" applyProtection="1">
      <alignment vertical="center" wrapText="1"/>
      <protection locked="0"/>
    </xf>
    <xf numFmtId="0" fontId="72" fillId="0" borderId="0" xfId="0" applyFont="1" applyAlignment="1" applyProtection="1">
      <alignment horizontal="left" vertical="center" wrapText="1"/>
      <protection locked="0"/>
    </xf>
    <xf numFmtId="4" fontId="74" fillId="0" borderId="3" xfId="0" applyNumberFormat="1" applyFont="1" applyBorder="1" applyAlignment="1">
      <alignment horizontal="left" vertical="center" wrapText="1"/>
    </xf>
    <xf numFmtId="4" fontId="74" fillId="0" borderId="1" xfId="0" applyNumberFormat="1" applyFont="1" applyBorder="1" applyAlignment="1">
      <alignment horizontal="left" vertical="center" wrapText="1"/>
    </xf>
    <xf numFmtId="4" fontId="75" fillId="0" borderId="3" xfId="0" applyNumberFormat="1" applyFont="1" applyBorder="1" applyAlignment="1">
      <alignment horizontal="left" vertical="center" wrapText="1"/>
    </xf>
    <xf numFmtId="4" fontId="75" fillId="0" borderId="1" xfId="0" applyNumberFormat="1" applyFont="1" applyBorder="1" applyAlignment="1">
      <alignment horizontal="left" vertical="center" wrapText="1"/>
    </xf>
    <xf numFmtId="4" fontId="73" fillId="0" borderId="2" xfId="0" applyNumberFormat="1" applyFont="1" applyBorder="1" applyAlignment="1">
      <alignment vertical="center"/>
    </xf>
  </cellXfs>
  <cellStyles count="5">
    <cellStyle name="Excel Built-in Normal" xfId="1" xr:uid="{00000000-0005-0000-0000-000000000000}"/>
    <cellStyle name="Hipersaitas" xfId="4" builtinId="8"/>
    <cellStyle name="Įprastas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colors>
    <mruColors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Currency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I25"/>
  <sheetViews>
    <sheetView topLeftCell="B1" zoomScaleNormal="100" workbookViewId="0">
      <selection activeCell="F17" sqref="F17"/>
    </sheetView>
  </sheetViews>
  <sheetFormatPr defaultColWidth="9.140625" defaultRowHeight="15" x14ac:dyDescent="0.25"/>
  <cols>
    <col min="1" max="1" width="9.140625" style="54"/>
    <col min="2" max="2" width="46.28515625" style="54" customWidth="1"/>
    <col min="3" max="3" width="10.7109375" style="54" customWidth="1"/>
    <col min="4" max="5" width="10.42578125" style="54" customWidth="1"/>
    <col min="6" max="6" width="6.42578125" style="54" customWidth="1"/>
    <col min="7" max="16384" width="9.140625" style="54"/>
  </cols>
  <sheetData>
    <row r="1" spans="2:9" ht="21.75" customHeight="1" x14ac:dyDescent="0.25">
      <c r="C1" s="377" t="s">
        <v>0</v>
      </c>
      <c r="D1" s="377"/>
      <c r="E1" s="377"/>
    </row>
    <row r="2" spans="2:9" ht="15" customHeight="1" x14ac:dyDescent="0.25">
      <c r="C2" s="377"/>
      <c r="D2" s="377"/>
      <c r="E2" s="377"/>
    </row>
    <row r="3" spans="2:9" ht="15.75" x14ac:dyDescent="0.25">
      <c r="C3" s="893" t="s">
        <v>1</v>
      </c>
      <c r="D3" s="56"/>
      <c r="E3" s="56"/>
    </row>
    <row r="4" spans="2:9" ht="15.75" x14ac:dyDescent="0.25">
      <c r="C4" s="894" t="s">
        <v>575</v>
      </c>
      <c r="D4" s="56"/>
      <c r="E4" s="56"/>
    </row>
    <row r="5" spans="2:9" ht="15.75" x14ac:dyDescent="0.25">
      <c r="C5" s="56"/>
      <c r="D5" s="56"/>
      <c r="E5" s="56" t="s">
        <v>2</v>
      </c>
    </row>
    <row r="6" spans="2:9" x14ac:dyDescent="0.25">
      <c r="C6" s="57">
        <v>2022</v>
      </c>
      <c r="D6" s="57">
        <v>2023</v>
      </c>
      <c r="E6" s="57">
        <v>2024</v>
      </c>
    </row>
    <row r="7" spans="2:9" x14ac:dyDescent="0.25">
      <c r="B7" s="58" t="s">
        <v>3</v>
      </c>
      <c r="C7" s="62">
        <f>+I_savivalda!H105+'II švietimas'!H58+'III sveikata'!H32+'IV socialinė'!H114+'V Saugumas'!H20+'VI Verslas Turizmas'!H33+'VII Žemės ūkis'!H26+'VIII Infrastruktūra'!H66+'IX Renovacijos'!H37+'X Aplinkosauga'!H40+'XI laisvalaikis'!H38</f>
        <v>32811.1</v>
      </c>
      <c r="D7" s="62">
        <f>+I_savivalda!L105+'II švietimas'!L58+'III sveikata'!L32+'IV socialinė'!L114+'V Saugumas'!L20+'VI Verslas Turizmas'!L33+'VII Žemės ūkis'!L26+'VIII Infrastruktūra'!L66+'IX Renovacijos'!L37+'X Aplinkosauga'!L40+'XI laisvalaikis'!L38</f>
        <v>34283.130000000005</v>
      </c>
      <c r="E7" s="62">
        <f>I_savivalda!M105+'II švietimas'!M58+'III sveikata'!N32+'IV socialinė'!N114+'V Saugumas'!N20+'VI Verslas Turizmas'!M33+'VII Žemės ūkis'!M26+'VIII Infrastruktūra'!M66+'IX Renovacijos'!M37+'X Aplinkosauga'!M40+'XI laisvalaikis'!M38</f>
        <v>52282.486499999999</v>
      </c>
      <c r="G7" s="59"/>
      <c r="I7" s="59"/>
    </row>
    <row r="8" spans="2:9" x14ac:dyDescent="0.25">
      <c r="B8" s="58" t="s">
        <v>4</v>
      </c>
      <c r="C8" s="62">
        <f>+I_savivalda!H107+'II švietimas'!H60+'III sveikata'!H33+'IV socialinė'!H116+'V Saugumas'!H21+'VI Verslas Turizmas'!H35+'VII Žemės ūkis'!H27+'VIII Infrastruktūra'!H67+'IX Renovacijos'!H40+'X Aplinkosauga'!H45+'XI laisvalaikis'!H40</f>
        <v>18988.3</v>
      </c>
      <c r="D8" s="62">
        <f>+I_savivalda!L107+'II švietimas'!L60+'III sveikata'!L33+'IV socialinė'!L116+'V Saugumas'!L21+'VI Verslas Turizmas'!L35+'VII Žemės ūkis'!L27+'VIII Infrastruktūra'!L67+'IX Renovacijos'!L40+'X Aplinkosauga'!L45+'XI laisvalaikis'!L40</f>
        <v>19937.714999999997</v>
      </c>
      <c r="E8" s="62">
        <f>+I_savivalda!M107+'II švietimas'!M60+'III sveikata'!M33+'IV socialinė'!M116+'V Saugumas'!M21+'VI Verslas Turizmas'!M35+'VII Žemės ūkis'!M27+'VIII Infrastruktūra'!M67+'IX Renovacijos'!M40+'X Aplinkosauga'!M45+'XI laisvalaikis'!M40</f>
        <v>20934.600750000005</v>
      </c>
      <c r="G8" s="59"/>
      <c r="I8" s="59"/>
    </row>
    <row r="9" spans="2:9" x14ac:dyDescent="0.25">
      <c r="B9" s="58" t="s">
        <v>5</v>
      </c>
      <c r="C9" s="62">
        <f>+I_savivalda!H106+'II švietimas'!H59+'III sveikata'!H35+'IV socialinė'!H115+'V Saugumas'!H22+'VI Verslas Turizmas'!H34+'VII Žemės ūkis'!H28+'VIII Infrastruktūra'!H68+'IX Renovacijos'!H38+'X Aplinkosauga'!H41+'XI laisvalaikis'!H39</f>
        <v>693</v>
      </c>
      <c r="D9" s="62">
        <f>+I_savivalda!L106+'II švietimas'!L59+'III sveikata'!L35+'IV socialinė'!L115+'V Saugumas'!L22+'VI Verslas Turizmas'!L34+'VII Žemės ūkis'!L28+'VIII Infrastruktūra'!L68+'IX Renovacijos'!L38+'X Aplinkosauga'!L41+'XI laisvalaikis'!L39</f>
        <v>727.65000000000009</v>
      </c>
      <c r="E9" s="62">
        <f>+I_savivalda!M106+'II švietimas'!M59+'III sveikata'!M35+'IV socialinė'!M115+'V Saugumas'!M22+'VI Verslas Turizmas'!M34+'VII Žemės ūkis'!M28+'VIII Infrastruktūra'!M68+'IX Renovacijos'!M38+'X Aplinkosauga'!M41+'XI laisvalaikis'!M39</f>
        <v>764.03249999999991</v>
      </c>
      <c r="G9" s="59"/>
    </row>
    <row r="10" spans="2:9" x14ac:dyDescent="0.25">
      <c r="B10" s="65" t="s">
        <v>6</v>
      </c>
      <c r="C10" s="66">
        <f>+I_savivalda!H111+'II švietimas'!H64+'IV socialinė'!H121+'V Saugumas'!H26+'VI Verslas Turizmas'!H40+'VIII Infrastruktūra'!H72+'IX Renovacijos'!H44+'X Aplinkosauga'!H43+'XI laisvalaikis'!H45</f>
        <v>1192.26</v>
      </c>
      <c r="D10" s="66">
        <f>+I_savivalda!L111+'VIII Infrastruktūra'!L72+'II švietimas'!L64+'IV socialinė'!L121+'V Saugumas'!L26+'VI Verslas Turizmas'!L40+'VII Žemės ūkis'!L32+'IX Renovacijos'!L44+'X Aplinkosauga'!L43+'XI laisvalaikis'!L45</f>
        <v>400</v>
      </c>
      <c r="E10" s="66">
        <f>+I_savivalda!M111+'II švietimas'!M64+'IV socialinė'!M121+'V Saugumas'!M26+'VI Verslas Turizmas'!M40+'VII Žemės ūkis'!M32+'VIII Infrastruktūra'!M72+'IX Renovacijos'!M44+'X Aplinkosauga'!M43+'XI laisvalaikis'!M45</f>
        <v>0</v>
      </c>
    </row>
    <row r="11" spans="2:9" x14ac:dyDescent="0.25">
      <c r="B11" s="65" t="s">
        <v>7</v>
      </c>
      <c r="C11" s="66">
        <f>+I_savivalda!H108+'IV socialinė'!H117+'V Saugumas'!H23+'VI Verslas Turizmas'!H36+'VII Žemės ūkis'!H29+'IX Renovacijos'!H39+'X Aplinkosauga'!H42+'XI laisvalaikis'!H41</f>
        <v>10279.4</v>
      </c>
      <c r="D11" s="66">
        <f>+I_savivalda!L108+'IV socialinė'!L117+'V Saugumas'!L23+'VI Verslas Turizmas'!L36+'VII Žemės ūkis'!L29+'IX Renovacijos'!L39+'X Aplinkosauga'!L42+'XI laisvalaikis'!L41</f>
        <v>0</v>
      </c>
      <c r="E11" s="66">
        <f>+I_savivalda!M108+'IV socialinė'!M117+'V Saugumas'!M23+'VI Verslas Turizmas'!M36+'VII Žemės ūkis'!M29+'IX Renovacijos'!M39+'X Aplinkosauga'!M42+'XI laisvalaikis'!M41</f>
        <v>0</v>
      </c>
    </row>
    <row r="12" spans="2:9" x14ac:dyDescent="0.25">
      <c r="B12" s="65" t="s">
        <v>8</v>
      </c>
      <c r="C12" s="66">
        <f>+I_savivalda!H112+'III sveikata'!H37+'IV socialinė'!H118+'VI Verslas Turizmas'!H37+'VIII Infrastruktūra'!H69+'IX Renovacijos'!H41+'XI laisvalaikis'!H42</f>
        <v>1010.74</v>
      </c>
      <c r="D12" s="66">
        <f>+I_savivalda!L112+'III sveikata'!L37+'IV socialinė'!L118+'VI Verslas Turizmas'!L37+'VIII Infrastruktūra'!L69+'IX Renovacijos'!L41+'XI laisvalaikis'!L42</f>
        <v>38</v>
      </c>
      <c r="E12" s="66">
        <f>+I_savivalda!M112+'III sveikata'!M37+'IV socialinė'!M118+'VI Verslas Turizmas'!M37+'VIII Infrastruktūra'!M69+'IX Renovacijos'!M41+'XI laisvalaikis'!M42</f>
        <v>0</v>
      </c>
    </row>
    <row r="13" spans="2:9" x14ac:dyDescent="0.25">
      <c r="B13" s="65" t="s">
        <v>9</v>
      </c>
      <c r="C13" s="66">
        <f>+I_savivalda!H110+'II švietimas'!H65+'III sveikata'!H36+'IV socialinė'!H122+'V Saugumas'!H27+'VI Verslas Turizmas'!H41+'VII Žemės ūkis'!H33+'VIII Infrastruktūra'!H73+'IX Renovacijos'!H45+'X Aplinkosauga'!H47</f>
        <v>0</v>
      </c>
      <c r="D13" s="66">
        <f>I_savivalda!L110+'II švietimas'!L65+'III sveikata'!L36+'IV socialinė'!L122+'V Saugumas'!L27+'VI Verslas Turizmas'!L41+'VII Žemės ūkis'!L33+'VIII Infrastruktūra'!L73+'IX Renovacijos'!L45+'X Aplinkosauga'!L47+'XI laisvalaikis'!L46</f>
        <v>0</v>
      </c>
      <c r="E13" s="66">
        <f>I_savivalda!M110+'II švietimas'!M65+'III sveikata'!M36+'IV socialinė'!M122+'V Saugumas'!M27+'VI Verslas Turizmas'!M41+'VII Žemės ūkis'!M33+'VIII Infrastruktūra'!M73+'IX Renovacijos'!M45+'X Aplinkosauga'!M47+'XI laisvalaikis'!M46</f>
        <v>0</v>
      </c>
    </row>
    <row r="14" spans="2:9" x14ac:dyDescent="0.25">
      <c r="B14" s="60"/>
      <c r="C14" s="61"/>
      <c r="D14" s="61"/>
      <c r="E14" s="61"/>
    </row>
    <row r="15" spans="2:9" ht="26.25" x14ac:dyDescent="0.25">
      <c r="C15" s="63">
        <f>+C7+C8+C9</f>
        <v>52492.399999999994</v>
      </c>
      <c r="D15" s="63">
        <f>+D7+D8+D9</f>
        <v>54948.495000000003</v>
      </c>
      <c r="E15" s="63">
        <f>+E7+E8+E9</f>
        <v>73981.119750000013</v>
      </c>
      <c r="F15" s="897" t="s">
        <v>10</v>
      </c>
    </row>
    <row r="16" spans="2:9" ht="48.75" x14ac:dyDescent="0.25">
      <c r="C16" s="61">
        <f>+C10+C11+C12+C13</f>
        <v>12482.4</v>
      </c>
      <c r="D16" s="61">
        <f>+D10+D11+D12+D13</f>
        <v>438</v>
      </c>
      <c r="E16" s="61">
        <f>+E10+E11+E12+E13</f>
        <v>0</v>
      </c>
      <c r="F16" s="895" t="s">
        <v>11</v>
      </c>
    </row>
    <row r="17" spans="3:6" ht="30" x14ac:dyDescent="0.25">
      <c r="C17" s="64">
        <f>+C15+C16</f>
        <v>64974.799999999996</v>
      </c>
      <c r="D17" s="64">
        <f>+D15+D16</f>
        <v>55386.495000000003</v>
      </c>
      <c r="E17" s="64">
        <f>+E15+E16</f>
        <v>73981.119750000013</v>
      </c>
      <c r="F17" s="896" t="s">
        <v>12</v>
      </c>
    </row>
    <row r="18" spans="3:6" x14ac:dyDescent="0.25">
      <c r="C18" s="59"/>
      <c r="D18" s="59"/>
      <c r="E18" s="59"/>
    </row>
    <row r="19" spans="3:6" x14ac:dyDescent="0.25">
      <c r="C19" s="59"/>
    </row>
    <row r="25" spans="3:6" x14ac:dyDescent="0.25">
      <c r="C25" s="61"/>
    </row>
  </sheetData>
  <sheetProtection selectLockedCells="1"/>
  <mergeCells count="1">
    <mergeCell ref="C1:E2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2:T330"/>
  <sheetViews>
    <sheetView zoomScale="90" zoomScaleNormal="90" zoomScaleSheetLayoutView="70" workbookViewId="0">
      <pane xSplit="1" ySplit="4" topLeftCell="D22" activePane="bottomRight" state="frozen"/>
      <selection pane="topRight" activeCell="B1" sqref="B1"/>
      <selection pane="bottomLeft" activeCell="A7" sqref="A7"/>
      <selection pane="bottomRight" activeCell="O20" sqref="O20:O21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51.140625" style="55" customWidth="1"/>
    <col min="5" max="5" width="4.42578125" style="16" customWidth="1"/>
    <col min="6" max="6" width="14" style="15" customWidth="1"/>
    <col min="7" max="7" width="8.5703125" style="17" customWidth="1" outlineLevel="1"/>
    <col min="8" max="8" width="11.85546875" style="18" customWidth="1" outlineLevel="1"/>
    <col min="9" max="10" width="11.5703125" style="18" hidden="1" customWidth="1" outlineLevel="1"/>
    <col min="11" max="11" width="8.5703125" style="18" hidden="1" customWidth="1" outlineLevel="1"/>
    <col min="12" max="12" width="11.42578125" style="18" customWidth="1" outlineLevel="1"/>
    <col min="13" max="13" width="12.140625" style="18" customWidth="1" outlineLevel="1"/>
    <col min="14" max="14" width="12.42578125" style="18" customWidth="1" outlineLevel="1"/>
    <col min="15" max="15" width="32.140625" style="70" customWidth="1"/>
    <col min="16" max="16" width="9.140625" style="18" customWidth="1"/>
    <col min="17" max="17" width="8.5703125" style="18" customWidth="1"/>
    <col min="18" max="19" width="8.140625" style="18" customWidth="1"/>
    <col min="20" max="20" width="20.5703125" style="19" customWidth="1"/>
    <col min="21" max="16384" width="9.140625" style="20"/>
  </cols>
  <sheetData>
    <row r="2" spans="1:20" ht="12.75" customHeight="1" x14ac:dyDescent="0.25">
      <c r="A2" s="489" t="s">
        <v>13</v>
      </c>
      <c r="B2" s="489" t="s">
        <v>14</v>
      </c>
      <c r="C2" s="490" t="s">
        <v>15</v>
      </c>
      <c r="D2" s="397" t="s">
        <v>16</v>
      </c>
      <c r="E2" s="483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486" t="s">
        <v>23</v>
      </c>
      <c r="O2" s="475" t="s">
        <v>24</v>
      </c>
      <c r="P2" s="475"/>
      <c r="Q2" s="475"/>
      <c r="R2" s="475"/>
      <c r="S2" s="475"/>
      <c r="T2" s="469" t="s">
        <v>25</v>
      </c>
    </row>
    <row r="3" spans="1:20" ht="15" customHeight="1" x14ac:dyDescent="0.2">
      <c r="A3" s="489"/>
      <c r="B3" s="489"/>
      <c r="C3" s="490"/>
      <c r="D3" s="457"/>
      <c r="E3" s="484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487"/>
      <c r="O3" s="71"/>
      <c r="P3" s="67"/>
      <c r="Q3" s="475" t="s">
        <v>27</v>
      </c>
      <c r="R3" s="475"/>
      <c r="S3" s="475"/>
      <c r="T3" s="470"/>
    </row>
    <row r="4" spans="1:20" ht="55.5" customHeight="1" x14ac:dyDescent="0.2">
      <c r="A4" s="489"/>
      <c r="B4" s="489"/>
      <c r="C4" s="490"/>
      <c r="D4" s="398"/>
      <c r="E4" s="485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488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471"/>
    </row>
    <row r="5" spans="1:20" s="26" customFormat="1" ht="14.25" x14ac:dyDescent="0.25">
      <c r="A5" s="22" t="s">
        <v>35</v>
      </c>
      <c r="B5" s="23"/>
      <c r="C5" s="23"/>
      <c r="D5" s="23"/>
      <c r="E5" s="24"/>
      <c r="F5" s="23"/>
      <c r="G5" s="23"/>
      <c r="H5" s="23"/>
      <c r="I5" s="23"/>
      <c r="J5" s="23"/>
      <c r="K5" s="23"/>
      <c r="L5" s="23"/>
      <c r="M5" s="25"/>
      <c r="N5" s="25"/>
      <c r="O5" s="90"/>
      <c r="P5" s="92"/>
      <c r="Q5" s="92"/>
      <c r="R5" s="92"/>
      <c r="S5" s="92"/>
      <c r="T5" s="25"/>
    </row>
    <row r="6" spans="1:20" x14ac:dyDescent="0.2">
      <c r="A6" s="27" t="s">
        <v>36</v>
      </c>
      <c r="B6" s="28" t="s">
        <v>37</v>
      </c>
      <c r="C6" s="29"/>
      <c r="D6" s="29"/>
      <c r="E6" s="30"/>
      <c r="F6" s="29"/>
      <c r="G6" s="31"/>
      <c r="H6" s="29"/>
      <c r="I6" s="29"/>
      <c r="J6" s="29"/>
      <c r="K6" s="29"/>
      <c r="L6" s="29"/>
      <c r="M6" s="29"/>
      <c r="N6" s="29"/>
      <c r="O6" s="73"/>
      <c r="P6" s="91"/>
      <c r="Q6" s="91"/>
      <c r="R6" s="91"/>
      <c r="S6" s="91"/>
      <c r="T6" s="35"/>
    </row>
    <row r="7" spans="1:20" x14ac:dyDescent="0.2">
      <c r="A7" s="27" t="s">
        <v>36</v>
      </c>
      <c r="B7" s="32" t="s">
        <v>36</v>
      </c>
      <c r="C7" s="36" t="s">
        <v>38</v>
      </c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8"/>
    </row>
    <row r="8" spans="1:20" ht="25.5" x14ac:dyDescent="0.2">
      <c r="A8" s="404" t="s">
        <v>36</v>
      </c>
      <c r="B8" s="406" t="s">
        <v>36</v>
      </c>
      <c r="C8" s="408" t="s">
        <v>36</v>
      </c>
      <c r="D8" s="418" t="s">
        <v>39</v>
      </c>
      <c r="E8" s="399" t="s">
        <v>36</v>
      </c>
      <c r="F8" s="397">
        <v>188718713</v>
      </c>
      <c r="G8" s="1" t="s">
        <v>40</v>
      </c>
      <c r="H8" s="7">
        <v>120</v>
      </c>
      <c r="I8" s="7"/>
      <c r="J8" s="7"/>
      <c r="K8" s="7"/>
      <c r="L8" s="7">
        <f>H8*1.05</f>
        <v>126</v>
      </c>
      <c r="M8" s="7">
        <f>L8*1.05</f>
        <v>132.30000000000001</v>
      </c>
      <c r="N8" s="7">
        <f t="shared" ref="N8:N13" si="0">H8+L8+M8</f>
        <v>378.3</v>
      </c>
      <c r="O8" s="74" t="s">
        <v>41</v>
      </c>
      <c r="P8" s="82" t="s">
        <v>42</v>
      </c>
      <c r="Q8" s="82">
        <v>286</v>
      </c>
      <c r="R8" s="82">
        <v>286</v>
      </c>
      <c r="S8" s="82">
        <v>286</v>
      </c>
      <c r="T8" s="401" t="s">
        <v>43</v>
      </c>
    </row>
    <row r="9" spans="1:20" ht="12.75" x14ac:dyDescent="0.2">
      <c r="A9" s="405"/>
      <c r="B9" s="407"/>
      <c r="C9" s="409"/>
      <c r="D9" s="420"/>
      <c r="E9" s="400"/>
      <c r="F9" s="398"/>
      <c r="G9" s="3" t="s">
        <v>23</v>
      </c>
      <c r="H9" s="8">
        <f>H8</f>
        <v>120</v>
      </c>
      <c r="I9" s="8">
        <f t="shared" ref="I9:M9" si="1">I8</f>
        <v>0</v>
      </c>
      <c r="J9" s="8">
        <f t="shared" si="1"/>
        <v>0</v>
      </c>
      <c r="K9" s="8">
        <f t="shared" si="1"/>
        <v>0</v>
      </c>
      <c r="L9" s="8">
        <f t="shared" si="1"/>
        <v>126</v>
      </c>
      <c r="M9" s="8">
        <f t="shared" si="1"/>
        <v>132.30000000000001</v>
      </c>
      <c r="N9" s="8">
        <f t="shared" si="0"/>
        <v>378.3</v>
      </c>
      <c r="O9" s="75" t="s">
        <v>44</v>
      </c>
      <c r="P9" s="83" t="s">
        <v>45</v>
      </c>
      <c r="Q9" s="83">
        <v>25</v>
      </c>
      <c r="R9" s="83">
        <v>25</v>
      </c>
      <c r="S9" s="83">
        <v>25</v>
      </c>
      <c r="T9" s="402"/>
    </row>
    <row r="10" spans="1:20" ht="25.5" x14ac:dyDescent="0.2">
      <c r="A10" s="404" t="s">
        <v>36</v>
      </c>
      <c r="B10" s="406" t="s">
        <v>36</v>
      </c>
      <c r="C10" s="408" t="s">
        <v>46</v>
      </c>
      <c r="D10" s="418" t="s">
        <v>47</v>
      </c>
      <c r="E10" s="399" t="s">
        <v>36</v>
      </c>
      <c r="F10" s="397">
        <v>188718713</v>
      </c>
      <c r="G10" s="5" t="s">
        <v>40</v>
      </c>
      <c r="H10" s="7">
        <v>4920.2</v>
      </c>
      <c r="I10" s="7"/>
      <c r="J10" s="7"/>
      <c r="K10" s="7"/>
      <c r="L10" s="7">
        <f>H10*1.05</f>
        <v>5166.21</v>
      </c>
      <c r="M10" s="7">
        <f>L10*1.05</f>
        <v>5424.5205000000005</v>
      </c>
      <c r="N10" s="7">
        <f t="shared" si="0"/>
        <v>15510.9305</v>
      </c>
      <c r="O10" s="74" t="s">
        <v>41</v>
      </c>
      <c r="P10" s="82" t="s">
        <v>42</v>
      </c>
      <c r="Q10" s="82">
        <v>2570</v>
      </c>
      <c r="R10" s="82">
        <v>2570</v>
      </c>
      <c r="S10" s="82">
        <v>2570</v>
      </c>
      <c r="T10" s="401" t="s">
        <v>48</v>
      </c>
    </row>
    <row r="11" spans="1:20" ht="25.5" x14ac:dyDescent="0.2">
      <c r="A11" s="405"/>
      <c r="B11" s="407"/>
      <c r="C11" s="409"/>
      <c r="D11" s="420"/>
      <c r="E11" s="429"/>
      <c r="F11" s="457"/>
      <c r="G11" s="3" t="s">
        <v>23</v>
      </c>
      <c r="H11" s="8">
        <f>H10</f>
        <v>4920.2</v>
      </c>
      <c r="I11" s="8">
        <f t="shared" ref="I11:M11" si="2">I10</f>
        <v>0</v>
      </c>
      <c r="J11" s="8">
        <f t="shared" si="2"/>
        <v>0</v>
      </c>
      <c r="K11" s="8">
        <f t="shared" si="2"/>
        <v>0</v>
      </c>
      <c r="L11" s="8">
        <f t="shared" si="2"/>
        <v>5166.21</v>
      </c>
      <c r="M11" s="8">
        <f t="shared" si="2"/>
        <v>5424.5205000000005</v>
      </c>
      <c r="N11" s="8">
        <f t="shared" si="0"/>
        <v>15510.9305</v>
      </c>
      <c r="O11" s="74" t="s">
        <v>49</v>
      </c>
      <c r="P11" s="83" t="s">
        <v>45</v>
      </c>
      <c r="Q11" s="83">
        <v>139</v>
      </c>
      <c r="R11" s="83">
        <v>139</v>
      </c>
      <c r="S11" s="83">
        <v>139</v>
      </c>
      <c r="T11" s="402"/>
    </row>
    <row r="12" spans="1:20" ht="13.5" customHeight="1" x14ac:dyDescent="0.2">
      <c r="A12" s="404" t="s">
        <v>36</v>
      </c>
      <c r="B12" s="406" t="s">
        <v>36</v>
      </c>
      <c r="C12" s="408" t="s">
        <v>50</v>
      </c>
      <c r="D12" s="418" t="s">
        <v>51</v>
      </c>
      <c r="E12" s="399" t="s">
        <v>36</v>
      </c>
      <c r="F12" s="397">
        <v>188718713</v>
      </c>
      <c r="G12" s="5" t="s">
        <v>40</v>
      </c>
      <c r="H12" s="7">
        <v>264.39999999999998</v>
      </c>
      <c r="I12" s="7"/>
      <c r="J12" s="7"/>
      <c r="K12" s="7"/>
      <c r="L12" s="7">
        <f>H12*1.05</f>
        <v>277.62</v>
      </c>
      <c r="M12" s="7">
        <f>L12*1.05</f>
        <v>291.50100000000003</v>
      </c>
      <c r="N12" s="7">
        <f t="shared" si="0"/>
        <v>833.52099999999996</v>
      </c>
      <c r="O12" s="382" t="s">
        <v>41</v>
      </c>
      <c r="P12" s="380" t="s">
        <v>42</v>
      </c>
      <c r="Q12" s="380">
        <v>1508</v>
      </c>
      <c r="R12" s="380">
        <v>1508</v>
      </c>
      <c r="S12" s="380">
        <v>1508</v>
      </c>
      <c r="T12" s="401" t="s">
        <v>52</v>
      </c>
    </row>
    <row r="13" spans="1:20" ht="14.25" customHeight="1" x14ac:dyDescent="0.2">
      <c r="A13" s="447"/>
      <c r="B13" s="448"/>
      <c r="C13" s="427"/>
      <c r="D13" s="419"/>
      <c r="E13" s="429"/>
      <c r="F13" s="457"/>
      <c r="G13" s="3" t="s">
        <v>23</v>
      </c>
      <c r="H13" s="8">
        <f>H12</f>
        <v>264.39999999999998</v>
      </c>
      <c r="I13" s="8">
        <f t="shared" ref="I13:M13" si="3">I12</f>
        <v>0</v>
      </c>
      <c r="J13" s="8">
        <f t="shared" si="3"/>
        <v>0</v>
      </c>
      <c r="K13" s="8">
        <f t="shared" si="3"/>
        <v>0</v>
      </c>
      <c r="L13" s="8">
        <f t="shared" si="3"/>
        <v>277.62</v>
      </c>
      <c r="M13" s="8">
        <f t="shared" si="3"/>
        <v>291.50100000000003</v>
      </c>
      <c r="N13" s="8">
        <f t="shared" si="0"/>
        <v>833.52099999999996</v>
      </c>
      <c r="O13" s="387"/>
      <c r="P13" s="381"/>
      <c r="Q13" s="381"/>
      <c r="R13" s="381"/>
      <c r="S13" s="381"/>
      <c r="T13" s="431"/>
    </row>
    <row r="14" spans="1:20" ht="14.25" customHeight="1" x14ac:dyDescent="0.2">
      <c r="A14" s="447"/>
      <c r="B14" s="448"/>
      <c r="C14" s="427"/>
      <c r="D14" s="419"/>
      <c r="E14" s="429"/>
      <c r="F14" s="457"/>
      <c r="G14" s="3" t="s">
        <v>53</v>
      </c>
      <c r="H14" s="8"/>
      <c r="I14" s="8"/>
      <c r="J14" s="8"/>
      <c r="K14" s="8"/>
      <c r="L14" s="8"/>
      <c r="M14" s="8"/>
      <c r="N14" s="8">
        <f>SUM(H14+M14)</f>
        <v>0</v>
      </c>
      <c r="O14" s="499" t="s">
        <v>54</v>
      </c>
      <c r="P14" s="380" t="s">
        <v>45</v>
      </c>
      <c r="Q14" s="380">
        <v>141</v>
      </c>
      <c r="R14" s="380">
        <v>141</v>
      </c>
      <c r="S14" s="380">
        <v>141</v>
      </c>
      <c r="T14" s="431"/>
    </row>
    <row r="15" spans="1:20" ht="14.25" customHeight="1" x14ac:dyDescent="0.2">
      <c r="A15" s="405"/>
      <c r="B15" s="407"/>
      <c r="C15" s="409"/>
      <c r="D15" s="420"/>
      <c r="E15" s="400"/>
      <c r="F15" s="398"/>
      <c r="G15" s="3" t="s">
        <v>23</v>
      </c>
      <c r="H15" s="8">
        <f>H14</f>
        <v>0</v>
      </c>
      <c r="I15" s="8">
        <f t="shared" ref="I15:M15" si="4">I14</f>
        <v>0</v>
      </c>
      <c r="J15" s="8">
        <f t="shared" si="4"/>
        <v>0</v>
      </c>
      <c r="K15" s="8">
        <f t="shared" si="4"/>
        <v>0</v>
      </c>
      <c r="L15" s="8">
        <f t="shared" si="4"/>
        <v>0</v>
      </c>
      <c r="M15" s="8">
        <f t="shared" si="4"/>
        <v>0</v>
      </c>
      <c r="N15" s="8">
        <f t="shared" ref="N15" si="5">SUM(N14)</f>
        <v>0</v>
      </c>
      <c r="O15" s="387"/>
      <c r="P15" s="381"/>
      <c r="Q15" s="381"/>
      <c r="R15" s="381"/>
      <c r="S15" s="381"/>
      <c r="T15" s="402"/>
    </row>
    <row r="16" spans="1:20" ht="25.5" x14ac:dyDescent="0.2">
      <c r="A16" s="404" t="s">
        <v>36</v>
      </c>
      <c r="B16" s="406" t="s">
        <v>36</v>
      </c>
      <c r="C16" s="408" t="s">
        <v>55</v>
      </c>
      <c r="D16" s="418" t="s">
        <v>56</v>
      </c>
      <c r="E16" s="399" t="s">
        <v>36</v>
      </c>
      <c r="F16" s="397">
        <v>188675429</v>
      </c>
      <c r="G16" s="5" t="s">
        <v>40</v>
      </c>
      <c r="H16" s="7">
        <v>118.5</v>
      </c>
      <c r="I16" s="7"/>
      <c r="J16" s="7"/>
      <c r="K16" s="7"/>
      <c r="L16" s="7">
        <f>H16*1.05</f>
        <v>124.42500000000001</v>
      </c>
      <c r="M16" s="7">
        <f>L16*1.05</f>
        <v>130.64625000000001</v>
      </c>
      <c r="N16" s="7">
        <f t="shared" ref="N16:N30" si="6">H16+L16+M16</f>
        <v>373.57125000000002</v>
      </c>
      <c r="O16" s="74" t="s">
        <v>41</v>
      </c>
      <c r="P16" s="82" t="s">
        <v>42</v>
      </c>
      <c r="Q16" s="82">
        <v>3068</v>
      </c>
      <c r="R16" s="82">
        <v>3068</v>
      </c>
      <c r="S16" s="82">
        <v>3068</v>
      </c>
      <c r="T16" s="401" t="s">
        <v>57</v>
      </c>
    </row>
    <row r="17" spans="1:20" ht="25.5" x14ac:dyDescent="0.2">
      <c r="A17" s="405"/>
      <c r="B17" s="407"/>
      <c r="C17" s="409"/>
      <c r="D17" s="420"/>
      <c r="E17" s="400"/>
      <c r="F17" s="398"/>
      <c r="G17" s="3" t="s">
        <v>23</v>
      </c>
      <c r="H17" s="8">
        <f>H16</f>
        <v>118.5</v>
      </c>
      <c r="I17" s="8">
        <f t="shared" ref="I17:M17" si="7">I16</f>
        <v>0</v>
      </c>
      <c r="J17" s="8">
        <f t="shared" si="7"/>
        <v>0</v>
      </c>
      <c r="K17" s="8">
        <f t="shared" si="7"/>
        <v>0</v>
      </c>
      <c r="L17" s="8">
        <f t="shared" si="7"/>
        <v>124.42500000000001</v>
      </c>
      <c r="M17" s="8">
        <f t="shared" si="7"/>
        <v>130.64625000000001</v>
      </c>
      <c r="N17" s="8">
        <f t="shared" si="6"/>
        <v>373.57125000000002</v>
      </c>
      <c r="O17" s="74" t="s">
        <v>58</v>
      </c>
      <c r="P17" s="83" t="s">
        <v>45</v>
      </c>
      <c r="Q17" s="83">
        <v>3</v>
      </c>
      <c r="R17" s="83">
        <v>3</v>
      </c>
      <c r="S17" s="83">
        <v>3</v>
      </c>
      <c r="T17" s="402"/>
    </row>
    <row r="18" spans="1:20" ht="25.5" x14ac:dyDescent="0.2">
      <c r="A18" s="404" t="s">
        <v>36</v>
      </c>
      <c r="B18" s="406" t="s">
        <v>36</v>
      </c>
      <c r="C18" s="408" t="s">
        <v>59</v>
      </c>
      <c r="D18" s="418" t="s">
        <v>60</v>
      </c>
      <c r="E18" s="399" t="s">
        <v>36</v>
      </c>
      <c r="F18" s="397">
        <v>188718713</v>
      </c>
      <c r="G18" s="5" t="s">
        <v>53</v>
      </c>
      <c r="H18" s="7">
        <v>40</v>
      </c>
      <c r="I18" s="7"/>
      <c r="J18" s="7"/>
      <c r="K18" s="7"/>
      <c r="L18" s="7">
        <f>H18*1.05</f>
        <v>42</v>
      </c>
      <c r="M18" s="7">
        <f>L18*1.05</f>
        <v>44.1</v>
      </c>
      <c r="N18" s="7">
        <f t="shared" si="6"/>
        <v>126.1</v>
      </c>
      <c r="O18" s="84" t="s">
        <v>61</v>
      </c>
      <c r="P18" s="82" t="s">
        <v>62</v>
      </c>
      <c r="Q18" s="82">
        <v>63</v>
      </c>
      <c r="R18" s="82">
        <v>63</v>
      </c>
      <c r="S18" s="82">
        <v>63</v>
      </c>
      <c r="T18" s="401" t="s">
        <v>63</v>
      </c>
    </row>
    <row r="19" spans="1:20" ht="25.5" x14ac:dyDescent="0.2">
      <c r="A19" s="405"/>
      <c r="B19" s="407"/>
      <c r="C19" s="409"/>
      <c r="D19" s="420"/>
      <c r="E19" s="400"/>
      <c r="F19" s="398"/>
      <c r="G19" s="3" t="s">
        <v>23</v>
      </c>
      <c r="H19" s="8">
        <f>H18</f>
        <v>40</v>
      </c>
      <c r="I19" s="8">
        <f t="shared" ref="I19:M19" si="8">I18</f>
        <v>0</v>
      </c>
      <c r="J19" s="8">
        <f t="shared" si="8"/>
        <v>0</v>
      </c>
      <c r="K19" s="8">
        <f t="shared" si="8"/>
        <v>0</v>
      </c>
      <c r="L19" s="8">
        <f t="shared" si="8"/>
        <v>42</v>
      </c>
      <c r="M19" s="8">
        <f t="shared" si="8"/>
        <v>44.1</v>
      </c>
      <c r="N19" s="8">
        <f t="shared" si="6"/>
        <v>126.1</v>
      </c>
      <c r="O19" s="75" t="s">
        <v>64</v>
      </c>
      <c r="P19" s="83" t="s">
        <v>65</v>
      </c>
      <c r="Q19" s="83">
        <v>4247.33</v>
      </c>
      <c r="R19" s="83">
        <v>4247.33</v>
      </c>
      <c r="S19" s="83">
        <v>4247.33</v>
      </c>
      <c r="T19" s="402"/>
    </row>
    <row r="20" spans="1:20" ht="26.1" customHeight="1" x14ac:dyDescent="0.2">
      <c r="A20" s="404" t="s">
        <v>36</v>
      </c>
      <c r="B20" s="406" t="s">
        <v>36</v>
      </c>
      <c r="C20" s="408" t="s">
        <v>66</v>
      </c>
      <c r="D20" s="418" t="s">
        <v>67</v>
      </c>
      <c r="E20" s="399" t="s">
        <v>36</v>
      </c>
      <c r="F20" s="397">
        <v>188718713</v>
      </c>
      <c r="G20" s="5" t="s">
        <v>40</v>
      </c>
      <c r="H20" s="7">
        <v>20</v>
      </c>
      <c r="I20" s="7"/>
      <c r="J20" s="7"/>
      <c r="K20" s="7"/>
      <c r="L20" s="7">
        <f>H20*1.05</f>
        <v>21</v>
      </c>
      <c r="M20" s="7">
        <f>L20*1.05</f>
        <v>22.05</v>
      </c>
      <c r="N20" s="7">
        <f t="shared" si="6"/>
        <v>63.05</v>
      </c>
      <c r="O20" s="382" t="s">
        <v>68</v>
      </c>
      <c r="P20" s="380" t="s">
        <v>62</v>
      </c>
      <c r="Q20" s="380">
        <v>0</v>
      </c>
      <c r="R20" s="380">
        <v>0</v>
      </c>
      <c r="S20" s="380">
        <v>0</v>
      </c>
      <c r="T20" s="497" t="s">
        <v>69</v>
      </c>
    </row>
    <row r="21" spans="1:20" ht="12.75" x14ac:dyDescent="0.2">
      <c r="A21" s="405"/>
      <c r="B21" s="407"/>
      <c r="C21" s="409"/>
      <c r="D21" s="420"/>
      <c r="E21" s="400"/>
      <c r="F21" s="398"/>
      <c r="G21" s="3" t="s">
        <v>23</v>
      </c>
      <c r="H21" s="8">
        <f>H20</f>
        <v>20</v>
      </c>
      <c r="I21" s="8">
        <f t="shared" ref="I21:M21" si="9">I20</f>
        <v>0</v>
      </c>
      <c r="J21" s="8">
        <f t="shared" si="9"/>
        <v>0</v>
      </c>
      <c r="K21" s="8">
        <f t="shared" si="9"/>
        <v>0</v>
      </c>
      <c r="L21" s="8">
        <f t="shared" si="9"/>
        <v>21</v>
      </c>
      <c r="M21" s="8">
        <f t="shared" si="9"/>
        <v>22.05</v>
      </c>
      <c r="N21" s="8">
        <f t="shared" si="6"/>
        <v>63.05</v>
      </c>
      <c r="O21" s="387"/>
      <c r="P21" s="381"/>
      <c r="Q21" s="381"/>
      <c r="R21" s="381"/>
      <c r="S21" s="381"/>
      <c r="T21" s="498"/>
    </row>
    <row r="22" spans="1:20" ht="12.75" x14ac:dyDescent="0.2">
      <c r="A22" s="456" t="s">
        <v>36</v>
      </c>
      <c r="B22" s="443" t="s">
        <v>36</v>
      </c>
      <c r="C22" s="474" t="s">
        <v>70</v>
      </c>
      <c r="D22" s="494" t="s">
        <v>71</v>
      </c>
      <c r="E22" s="421" t="s">
        <v>36</v>
      </c>
      <c r="F22" s="432">
        <v>188718713</v>
      </c>
      <c r="G22" s="5" t="s">
        <v>40</v>
      </c>
      <c r="H22" s="7">
        <v>84</v>
      </c>
      <c r="I22" s="7"/>
      <c r="J22" s="7"/>
      <c r="K22" s="7"/>
      <c r="L22" s="7">
        <f>H22*1.05</f>
        <v>88.2</v>
      </c>
      <c r="M22" s="7">
        <f>L22*1.05</f>
        <v>92.610000000000014</v>
      </c>
      <c r="N22" s="7">
        <f t="shared" si="6"/>
        <v>264.81</v>
      </c>
      <c r="O22" s="382" t="s">
        <v>72</v>
      </c>
      <c r="P22" s="380" t="s">
        <v>73</v>
      </c>
      <c r="Q22" s="380">
        <v>50</v>
      </c>
      <c r="R22" s="380">
        <v>50</v>
      </c>
      <c r="S22" s="380">
        <v>50</v>
      </c>
      <c r="T22" s="496" t="s">
        <v>74</v>
      </c>
    </row>
    <row r="23" spans="1:20" ht="12.75" x14ac:dyDescent="0.2">
      <c r="A23" s="456"/>
      <c r="B23" s="443"/>
      <c r="C23" s="474"/>
      <c r="D23" s="494"/>
      <c r="E23" s="421"/>
      <c r="F23" s="432"/>
      <c r="G23" s="6" t="s">
        <v>23</v>
      </c>
      <c r="H23" s="8">
        <f>H22</f>
        <v>84</v>
      </c>
      <c r="I23" s="8">
        <f t="shared" ref="I23:M23" si="10">I22</f>
        <v>0</v>
      </c>
      <c r="J23" s="8">
        <f t="shared" si="10"/>
        <v>0</v>
      </c>
      <c r="K23" s="8">
        <f t="shared" si="10"/>
        <v>0</v>
      </c>
      <c r="L23" s="8">
        <f t="shared" si="10"/>
        <v>88.2</v>
      </c>
      <c r="M23" s="8">
        <f t="shared" si="10"/>
        <v>92.610000000000014</v>
      </c>
      <c r="N23" s="8">
        <f t="shared" si="6"/>
        <v>264.81</v>
      </c>
      <c r="O23" s="387"/>
      <c r="P23" s="381"/>
      <c r="Q23" s="381"/>
      <c r="R23" s="381"/>
      <c r="S23" s="381"/>
      <c r="T23" s="496"/>
    </row>
    <row r="24" spans="1:20" ht="14.25" customHeight="1" x14ac:dyDescent="0.2">
      <c r="A24" s="456" t="s">
        <v>36</v>
      </c>
      <c r="B24" s="406" t="s">
        <v>36</v>
      </c>
      <c r="C24" s="474" t="s">
        <v>75</v>
      </c>
      <c r="D24" s="418" t="s">
        <v>76</v>
      </c>
      <c r="E24" s="421" t="s">
        <v>36</v>
      </c>
      <c r="F24" s="432">
        <v>188718713</v>
      </c>
      <c r="G24" s="5" t="s">
        <v>40</v>
      </c>
      <c r="H24" s="7">
        <v>60</v>
      </c>
      <c r="I24" s="7"/>
      <c r="J24" s="7"/>
      <c r="K24" s="7"/>
      <c r="L24" s="7">
        <f>H24*1.05</f>
        <v>63</v>
      </c>
      <c r="M24" s="7">
        <f>L24*1.05</f>
        <v>66.150000000000006</v>
      </c>
      <c r="N24" s="7">
        <f t="shared" si="6"/>
        <v>189.15</v>
      </c>
      <c r="O24" s="86" t="s">
        <v>77</v>
      </c>
      <c r="P24" s="87" t="s">
        <v>62</v>
      </c>
      <c r="Q24" s="87">
        <v>40</v>
      </c>
      <c r="R24" s="87">
        <v>40</v>
      </c>
      <c r="S24" s="87">
        <v>40</v>
      </c>
      <c r="T24" s="464" t="s">
        <v>78</v>
      </c>
    </row>
    <row r="25" spans="1:20" ht="24" customHeight="1" x14ac:dyDescent="0.2">
      <c r="A25" s="456"/>
      <c r="B25" s="407"/>
      <c r="C25" s="474"/>
      <c r="D25" s="420"/>
      <c r="E25" s="421"/>
      <c r="F25" s="432"/>
      <c r="G25" s="6" t="s">
        <v>23</v>
      </c>
      <c r="H25" s="8">
        <f>H24</f>
        <v>60</v>
      </c>
      <c r="I25" s="8">
        <f t="shared" ref="I25:M25" si="11">I24</f>
        <v>0</v>
      </c>
      <c r="J25" s="8">
        <f t="shared" si="11"/>
        <v>0</v>
      </c>
      <c r="K25" s="8">
        <f t="shared" si="11"/>
        <v>0</v>
      </c>
      <c r="L25" s="8">
        <f t="shared" si="11"/>
        <v>63</v>
      </c>
      <c r="M25" s="8">
        <f t="shared" si="11"/>
        <v>66.150000000000006</v>
      </c>
      <c r="N25" s="8">
        <f t="shared" si="6"/>
        <v>189.15</v>
      </c>
      <c r="O25" s="93" t="s">
        <v>79</v>
      </c>
      <c r="P25" s="85" t="s">
        <v>62</v>
      </c>
      <c r="Q25" s="85">
        <v>50</v>
      </c>
      <c r="R25" s="85">
        <v>50</v>
      </c>
      <c r="S25" s="85">
        <v>50</v>
      </c>
      <c r="T25" s="495"/>
    </row>
    <row r="26" spans="1:20" ht="12.75" x14ac:dyDescent="0.2">
      <c r="A26" s="404" t="s">
        <v>36</v>
      </c>
      <c r="B26" s="406" t="s">
        <v>36</v>
      </c>
      <c r="C26" s="474" t="s">
        <v>80</v>
      </c>
      <c r="D26" s="491" t="s">
        <v>81</v>
      </c>
      <c r="E26" s="399" t="s">
        <v>36</v>
      </c>
      <c r="F26" s="397">
        <v>188718713</v>
      </c>
      <c r="G26" s="5" t="s">
        <v>40</v>
      </c>
      <c r="H26" s="7">
        <v>37</v>
      </c>
      <c r="I26" s="7"/>
      <c r="J26" s="10"/>
      <c r="K26" s="10"/>
      <c r="L26" s="7">
        <f>H26*1.05</f>
        <v>38.85</v>
      </c>
      <c r="M26" s="7">
        <f>L26*1.05</f>
        <v>40.792500000000004</v>
      </c>
      <c r="N26" s="7">
        <f t="shared" si="6"/>
        <v>116.6425</v>
      </c>
      <c r="O26" s="382" t="s">
        <v>82</v>
      </c>
      <c r="P26" s="380" t="s">
        <v>62</v>
      </c>
      <c r="Q26" s="380">
        <v>17</v>
      </c>
      <c r="R26" s="380">
        <v>17</v>
      </c>
      <c r="S26" s="380">
        <v>17</v>
      </c>
      <c r="T26" s="401" t="s">
        <v>83</v>
      </c>
    </row>
    <row r="27" spans="1:20" ht="12.75" x14ac:dyDescent="0.2">
      <c r="A27" s="405"/>
      <c r="B27" s="407"/>
      <c r="C27" s="474"/>
      <c r="D27" s="492"/>
      <c r="E27" s="400"/>
      <c r="F27" s="398"/>
      <c r="G27" s="6" t="s">
        <v>23</v>
      </c>
      <c r="H27" s="8">
        <f>H26</f>
        <v>37</v>
      </c>
      <c r="I27" s="8">
        <f t="shared" ref="I27:M27" si="12">I26</f>
        <v>0</v>
      </c>
      <c r="J27" s="8">
        <f t="shared" si="12"/>
        <v>0</v>
      </c>
      <c r="K27" s="8">
        <f t="shared" si="12"/>
        <v>0</v>
      </c>
      <c r="L27" s="8">
        <f t="shared" si="12"/>
        <v>38.85</v>
      </c>
      <c r="M27" s="8">
        <f t="shared" si="12"/>
        <v>40.792500000000004</v>
      </c>
      <c r="N27" s="8">
        <f t="shared" si="6"/>
        <v>116.6425</v>
      </c>
      <c r="O27" s="387"/>
      <c r="P27" s="381" t="s">
        <v>45</v>
      </c>
      <c r="Q27" s="381"/>
      <c r="R27" s="381"/>
      <c r="S27" s="381"/>
      <c r="T27" s="402"/>
    </row>
    <row r="28" spans="1:20" ht="14.25" customHeight="1" x14ac:dyDescent="0.2">
      <c r="A28" s="404" t="s">
        <v>36</v>
      </c>
      <c r="B28" s="443" t="s">
        <v>36</v>
      </c>
      <c r="C28" s="474" t="s">
        <v>84</v>
      </c>
      <c r="D28" s="418" t="s">
        <v>85</v>
      </c>
      <c r="E28" s="421" t="s">
        <v>36</v>
      </c>
      <c r="F28" s="432">
        <v>188718713</v>
      </c>
      <c r="G28" s="5" t="s">
        <v>40</v>
      </c>
      <c r="H28" s="7">
        <v>19</v>
      </c>
      <c r="I28" s="7"/>
      <c r="J28" s="7"/>
      <c r="K28" s="7"/>
      <c r="L28" s="7">
        <f>H28*1.05</f>
        <v>19.95</v>
      </c>
      <c r="M28" s="7">
        <f>L28*1.05</f>
        <v>20.947500000000002</v>
      </c>
      <c r="N28" s="7">
        <f t="shared" si="6"/>
        <v>59.897500000000008</v>
      </c>
      <c r="O28" s="382" t="s">
        <v>86</v>
      </c>
      <c r="P28" s="380" t="s">
        <v>73</v>
      </c>
      <c r="Q28" s="390">
        <v>60</v>
      </c>
      <c r="R28" s="390">
        <v>70</v>
      </c>
      <c r="S28" s="390">
        <v>80</v>
      </c>
      <c r="T28" s="464" t="s">
        <v>74</v>
      </c>
    </row>
    <row r="29" spans="1:20" ht="14.25" customHeight="1" x14ac:dyDescent="0.2">
      <c r="A29" s="405"/>
      <c r="B29" s="443"/>
      <c r="C29" s="474"/>
      <c r="D29" s="420"/>
      <c r="E29" s="421"/>
      <c r="F29" s="432"/>
      <c r="G29" s="6" t="s">
        <v>23</v>
      </c>
      <c r="H29" s="8">
        <f>H28</f>
        <v>19</v>
      </c>
      <c r="I29" s="8">
        <f t="shared" ref="I29:M29" si="13">I28</f>
        <v>0</v>
      </c>
      <c r="J29" s="8">
        <f t="shared" si="13"/>
        <v>0</v>
      </c>
      <c r="K29" s="8">
        <f t="shared" si="13"/>
        <v>0</v>
      </c>
      <c r="L29" s="8">
        <f t="shared" si="13"/>
        <v>19.95</v>
      </c>
      <c r="M29" s="8">
        <f t="shared" si="13"/>
        <v>20.947500000000002</v>
      </c>
      <c r="N29" s="8">
        <f t="shared" si="6"/>
        <v>59.897500000000008</v>
      </c>
      <c r="O29" s="387"/>
      <c r="P29" s="381"/>
      <c r="Q29" s="391"/>
      <c r="R29" s="391"/>
      <c r="S29" s="391"/>
      <c r="T29" s="465"/>
    </row>
    <row r="30" spans="1:20" ht="25.5" x14ac:dyDescent="0.2">
      <c r="A30" s="404" t="s">
        <v>36</v>
      </c>
      <c r="B30" s="443" t="s">
        <v>36</v>
      </c>
      <c r="C30" s="474" t="s">
        <v>87</v>
      </c>
      <c r="D30" s="418" t="s">
        <v>88</v>
      </c>
      <c r="E30" s="421" t="s">
        <v>36</v>
      </c>
      <c r="F30" s="432">
        <v>188718713</v>
      </c>
      <c r="G30" s="5" t="s">
        <v>40</v>
      </c>
      <c r="H30" s="7">
        <v>20</v>
      </c>
      <c r="I30" s="7"/>
      <c r="J30" s="7"/>
      <c r="K30" s="7"/>
      <c r="L30" s="7">
        <f>H30*1.05</f>
        <v>21</v>
      </c>
      <c r="M30" s="7">
        <f>L30*1.05</f>
        <v>22.05</v>
      </c>
      <c r="N30" s="7">
        <f t="shared" si="6"/>
        <v>63.05</v>
      </c>
      <c r="O30" s="74" t="s">
        <v>89</v>
      </c>
      <c r="P30" s="94" t="s">
        <v>62</v>
      </c>
      <c r="Q30" s="94">
        <v>5</v>
      </c>
      <c r="R30" s="94">
        <v>10</v>
      </c>
      <c r="S30" s="94">
        <v>10</v>
      </c>
      <c r="T30" s="500" t="s">
        <v>90</v>
      </c>
    </row>
    <row r="31" spans="1:20" ht="12.75" x14ac:dyDescent="0.2">
      <c r="A31" s="447"/>
      <c r="B31" s="443"/>
      <c r="C31" s="474"/>
      <c r="D31" s="419"/>
      <c r="E31" s="421"/>
      <c r="F31" s="432"/>
      <c r="G31" s="5"/>
      <c r="H31" s="7"/>
      <c r="I31" s="7"/>
      <c r="J31" s="7"/>
      <c r="K31" s="7"/>
      <c r="L31" s="7"/>
      <c r="M31" s="7"/>
      <c r="N31" s="7"/>
      <c r="O31" s="74" t="s">
        <v>91</v>
      </c>
      <c r="P31" s="94" t="s">
        <v>62</v>
      </c>
      <c r="Q31" s="94">
        <v>15</v>
      </c>
      <c r="R31" s="94">
        <v>15</v>
      </c>
      <c r="S31" s="94">
        <v>15</v>
      </c>
      <c r="T31" s="501"/>
    </row>
    <row r="32" spans="1:20" ht="25.5" x14ac:dyDescent="0.2">
      <c r="A32" s="405"/>
      <c r="B32" s="443"/>
      <c r="C32" s="474"/>
      <c r="D32" s="420"/>
      <c r="E32" s="421"/>
      <c r="F32" s="432"/>
      <c r="G32" s="6" t="s">
        <v>23</v>
      </c>
      <c r="H32" s="8">
        <f>H30</f>
        <v>20</v>
      </c>
      <c r="I32" s="8">
        <f t="shared" ref="I32:M32" si="14">I30</f>
        <v>0</v>
      </c>
      <c r="J32" s="8">
        <f t="shared" si="14"/>
        <v>0</v>
      </c>
      <c r="K32" s="8">
        <f t="shared" si="14"/>
        <v>0</v>
      </c>
      <c r="L32" s="8">
        <f t="shared" si="14"/>
        <v>21</v>
      </c>
      <c r="M32" s="8">
        <f t="shared" si="14"/>
        <v>22.05</v>
      </c>
      <c r="N32" s="8">
        <f>H32+L32+M32</f>
        <v>63.05</v>
      </c>
      <c r="O32" s="74" t="s">
        <v>92</v>
      </c>
      <c r="P32" s="94" t="s">
        <v>62</v>
      </c>
      <c r="Q32" s="94">
        <v>1</v>
      </c>
      <c r="R32" s="94">
        <v>5</v>
      </c>
      <c r="S32" s="94">
        <v>5</v>
      </c>
      <c r="T32" s="502"/>
    </row>
    <row r="33" spans="1:20" ht="14.25" customHeight="1" x14ac:dyDescent="0.2">
      <c r="A33" s="27" t="s">
        <v>36</v>
      </c>
      <c r="B33" s="32" t="s">
        <v>46</v>
      </c>
      <c r="C33" s="424" t="s">
        <v>93</v>
      </c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5"/>
      <c r="T33" s="426"/>
    </row>
    <row r="34" spans="1:20" ht="14.25" customHeight="1" x14ac:dyDescent="0.2">
      <c r="A34" s="404" t="s">
        <v>36</v>
      </c>
      <c r="B34" s="406" t="s">
        <v>46</v>
      </c>
      <c r="C34" s="408" t="s">
        <v>36</v>
      </c>
      <c r="D34" s="418" t="s">
        <v>94</v>
      </c>
      <c r="E34" s="399" t="s">
        <v>36</v>
      </c>
      <c r="F34" s="397">
        <v>188718713</v>
      </c>
      <c r="G34" s="33" t="s">
        <v>95</v>
      </c>
      <c r="H34" s="7">
        <v>29.5</v>
      </c>
      <c r="I34" s="7"/>
      <c r="J34" s="7"/>
      <c r="K34" s="7"/>
      <c r="L34" s="7">
        <f>H34*1.05</f>
        <v>30.975000000000001</v>
      </c>
      <c r="M34" s="7">
        <f>L34*1.05</f>
        <v>32.52375</v>
      </c>
      <c r="N34" s="7">
        <f>H34+L34+M34</f>
        <v>92.998750000000001</v>
      </c>
      <c r="O34" s="378" t="s">
        <v>96</v>
      </c>
      <c r="P34" s="380" t="s">
        <v>62</v>
      </c>
      <c r="Q34" s="380">
        <v>1050</v>
      </c>
      <c r="R34" s="380">
        <v>1050</v>
      </c>
      <c r="S34" s="380">
        <v>1050</v>
      </c>
      <c r="T34" s="431" t="s">
        <v>97</v>
      </c>
    </row>
    <row r="35" spans="1:20" ht="14.25" customHeight="1" x14ac:dyDescent="0.2">
      <c r="A35" s="447"/>
      <c r="B35" s="448"/>
      <c r="C35" s="427"/>
      <c r="D35" s="419"/>
      <c r="E35" s="429"/>
      <c r="F35" s="457"/>
      <c r="G35" s="33" t="s">
        <v>40</v>
      </c>
      <c r="H35" s="7">
        <v>46.6</v>
      </c>
      <c r="I35" s="7"/>
      <c r="J35" s="7"/>
      <c r="K35" s="7"/>
      <c r="L35" s="7">
        <f>H35*1.05</f>
        <v>48.930000000000007</v>
      </c>
      <c r="M35" s="7">
        <f>L35*1.05</f>
        <v>51.376500000000007</v>
      </c>
      <c r="N35" s="7">
        <f>H35+L35+M35</f>
        <v>146.90649999999999</v>
      </c>
      <c r="O35" s="388"/>
      <c r="P35" s="389"/>
      <c r="Q35" s="389"/>
      <c r="R35" s="389"/>
      <c r="S35" s="389"/>
      <c r="T35" s="431"/>
    </row>
    <row r="36" spans="1:20" ht="14.25" customHeight="1" x14ac:dyDescent="0.2">
      <c r="A36" s="405"/>
      <c r="B36" s="407"/>
      <c r="C36" s="409"/>
      <c r="D36" s="420"/>
      <c r="E36" s="400"/>
      <c r="F36" s="398"/>
      <c r="G36" s="34" t="s">
        <v>23</v>
      </c>
      <c r="H36" s="8">
        <f>H34+H35</f>
        <v>76.099999999999994</v>
      </c>
      <c r="I36" s="8">
        <f t="shared" ref="I36:M36" si="15">I34+I35</f>
        <v>0</v>
      </c>
      <c r="J36" s="8">
        <f t="shared" si="15"/>
        <v>0</v>
      </c>
      <c r="K36" s="8">
        <f t="shared" si="15"/>
        <v>0</v>
      </c>
      <c r="L36" s="8">
        <f t="shared" si="15"/>
        <v>79.905000000000001</v>
      </c>
      <c r="M36" s="8">
        <f t="shared" si="15"/>
        <v>83.90025</v>
      </c>
      <c r="N36" s="8">
        <f t="shared" ref="N36" si="16">+N34+N35</f>
        <v>239.90525</v>
      </c>
      <c r="O36" s="379"/>
      <c r="P36" s="381"/>
      <c r="Q36" s="381"/>
      <c r="R36" s="381"/>
      <c r="S36" s="381"/>
      <c r="T36" s="402"/>
    </row>
    <row r="37" spans="1:20" ht="14.25" customHeight="1" x14ac:dyDescent="0.2">
      <c r="A37" s="404" t="s">
        <v>36</v>
      </c>
      <c r="B37" s="406" t="s">
        <v>46</v>
      </c>
      <c r="C37" s="408" t="s">
        <v>46</v>
      </c>
      <c r="D37" s="418" t="s">
        <v>98</v>
      </c>
      <c r="E37" s="399" t="s">
        <v>36</v>
      </c>
      <c r="F37" s="397">
        <v>188718713</v>
      </c>
      <c r="G37" s="33" t="s">
        <v>95</v>
      </c>
      <c r="H37" s="7">
        <v>1.7</v>
      </c>
      <c r="I37" s="7"/>
      <c r="J37" s="7"/>
      <c r="K37" s="7"/>
      <c r="L37" s="7">
        <f>H37*1.05</f>
        <v>1.7849999999999999</v>
      </c>
      <c r="M37" s="7">
        <f>L37*1.05</f>
        <v>1.87425</v>
      </c>
      <c r="N37" s="7">
        <f t="shared" ref="N37:N48" si="17">H37+L37+M37</f>
        <v>5.3592499999999994</v>
      </c>
      <c r="O37" s="378" t="s">
        <v>99</v>
      </c>
      <c r="P37" s="380" t="s">
        <v>62</v>
      </c>
      <c r="Q37" s="380">
        <v>230</v>
      </c>
      <c r="R37" s="380">
        <v>240</v>
      </c>
      <c r="S37" s="380">
        <v>240</v>
      </c>
      <c r="T37" s="401" t="s">
        <v>100</v>
      </c>
    </row>
    <row r="38" spans="1:20" ht="12.75" x14ac:dyDescent="0.2">
      <c r="A38" s="405"/>
      <c r="B38" s="407"/>
      <c r="C38" s="409"/>
      <c r="D38" s="420"/>
      <c r="E38" s="400"/>
      <c r="F38" s="398"/>
      <c r="G38" s="34" t="s">
        <v>23</v>
      </c>
      <c r="H38" s="8">
        <f>H37</f>
        <v>1.7</v>
      </c>
      <c r="I38" s="8">
        <f t="shared" ref="I38:M38" si="18">I37</f>
        <v>0</v>
      </c>
      <c r="J38" s="8">
        <f t="shared" si="18"/>
        <v>0</v>
      </c>
      <c r="K38" s="8">
        <f t="shared" si="18"/>
        <v>0</v>
      </c>
      <c r="L38" s="8">
        <f t="shared" si="18"/>
        <v>1.7849999999999999</v>
      </c>
      <c r="M38" s="8">
        <f t="shared" si="18"/>
        <v>1.87425</v>
      </c>
      <c r="N38" s="8">
        <f t="shared" si="17"/>
        <v>5.3592499999999994</v>
      </c>
      <c r="O38" s="379"/>
      <c r="P38" s="381"/>
      <c r="Q38" s="381"/>
      <c r="R38" s="381"/>
      <c r="S38" s="381"/>
      <c r="T38" s="402"/>
    </row>
    <row r="39" spans="1:20" ht="12.75" x14ac:dyDescent="0.2">
      <c r="A39" s="404" t="s">
        <v>36</v>
      </c>
      <c r="B39" s="406" t="s">
        <v>46</v>
      </c>
      <c r="C39" s="408" t="s">
        <v>50</v>
      </c>
      <c r="D39" s="418" t="s">
        <v>101</v>
      </c>
      <c r="E39" s="399" t="s">
        <v>36</v>
      </c>
      <c r="F39" s="397">
        <v>188718713</v>
      </c>
      <c r="G39" s="33" t="s">
        <v>95</v>
      </c>
      <c r="H39" s="7">
        <v>11.6</v>
      </c>
      <c r="I39" s="7"/>
      <c r="J39" s="7"/>
      <c r="K39" s="7"/>
      <c r="L39" s="7">
        <f t="shared" ref="L39:L40" si="19">H39*1.05</f>
        <v>12.18</v>
      </c>
      <c r="M39" s="7">
        <f>L39*1.05</f>
        <v>12.789</v>
      </c>
      <c r="N39" s="7">
        <f t="shared" si="17"/>
        <v>36.569000000000003</v>
      </c>
      <c r="O39" s="86" t="s">
        <v>102</v>
      </c>
      <c r="P39" s="82" t="s">
        <v>103</v>
      </c>
      <c r="Q39" s="82">
        <v>263.5</v>
      </c>
      <c r="R39" s="82">
        <v>263.5</v>
      </c>
      <c r="S39" s="82">
        <v>263.5</v>
      </c>
      <c r="T39" s="401" t="s">
        <v>43</v>
      </c>
    </row>
    <row r="40" spans="1:20" ht="14.25" customHeight="1" x14ac:dyDescent="0.2">
      <c r="A40" s="447"/>
      <c r="B40" s="448"/>
      <c r="C40" s="427"/>
      <c r="D40" s="419"/>
      <c r="E40" s="429"/>
      <c r="F40" s="457"/>
      <c r="G40" s="33" t="s">
        <v>40</v>
      </c>
      <c r="H40" s="7">
        <v>11.6</v>
      </c>
      <c r="I40" s="7"/>
      <c r="J40" s="7"/>
      <c r="K40" s="7"/>
      <c r="L40" s="7">
        <f t="shared" si="19"/>
        <v>12.18</v>
      </c>
      <c r="M40" s="7">
        <f>L40*1.05</f>
        <v>12.789</v>
      </c>
      <c r="N40" s="7">
        <f t="shared" si="17"/>
        <v>36.569000000000003</v>
      </c>
      <c r="O40" s="462" t="s">
        <v>104</v>
      </c>
      <c r="P40" s="380" t="s">
        <v>62</v>
      </c>
      <c r="Q40" s="380">
        <v>0</v>
      </c>
      <c r="R40" s="380">
        <v>0</v>
      </c>
      <c r="S40" s="380">
        <v>0</v>
      </c>
      <c r="T40" s="431"/>
    </row>
    <row r="41" spans="1:20" ht="14.25" customHeight="1" x14ac:dyDescent="0.2">
      <c r="A41" s="405"/>
      <c r="B41" s="407"/>
      <c r="C41" s="409"/>
      <c r="D41" s="420"/>
      <c r="E41" s="400"/>
      <c r="F41" s="398"/>
      <c r="G41" s="34" t="s">
        <v>23</v>
      </c>
      <c r="H41" s="8">
        <f>H39+H40</f>
        <v>23.2</v>
      </c>
      <c r="I41" s="8">
        <f t="shared" ref="I41:M41" si="20">I39+I40</f>
        <v>0</v>
      </c>
      <c r="J41" s="8">
        <f t="shared" si="20"/>
        <v>0</v>
      </c>
      <c r="K41" s="8">
        <f t="shared" si="20"/>
        <v>0</v>
      </c>
      <c r="L41" s="8">
        <f t="shared" si="20"/>
        <v>24.36</v>
      </c>
      <c r="M41" s="8">
        <f t="shared" si="20"/>
        <v>25.577999999999999</v>
      </c>
      <c r="N41" s="8">
        <f t="shared" si="17"/>
        <v>73.138000000000005</v>
      </c>
      <c r="O41" s="463"/>
      <c r="P41" s="381"/>
      <c r="Q41" s="381"/>
      <c r="R41" s="381"/>
      <c r="S41" s="381"/>
      <c r="T41" s="402"/>
    </row>
    <row r="42" spans="1:20" ht="12.75" x14ac:dyDescent="0.2">
      <c r="A42" s="404" t="s">
        <v>36</v>
      </c>
      <c r="B42" s="406" t="s">
        <v>46</v>
      </c>
      <c r="C42" s="408" t="s">
        <v>55</v>
      </c>
      <c r="D42" s="418" t="s">
        <v>105</v>
      </c>
      <c r="E42" s="399" t="s">
        <v>36</v>
      </c>
      <c r="F42" s="397">
        <v>188718713</v>
      </c>
      <c r="G42" s="33" t="s">
        <v>95</v>
      </c>
      <c r="H42" s="7">
        <v>0.6</v>
      </c>
      <c r="I42" s="7"/>
      <c r="J42" s="7"/>
      <c r="K42" s="7"/>
      <c r="L42" s="7">
        <f>H42*1.05</f>
        <v>0.63</v>
      </c>
      <c r="M42" s="7">
        <f>L42*1.05</f>
        <v>0.66150000000000009</v>
      </c>
      <c r="N42" s="7">
        <f t="shared" si="17"/>
        <v>1.8915000000000002</v>
      </c>
      <c r="O42" s="378" t="s">
        <v>106</v>
      </c>
      <c r="P42" s="380" t="s">
        <v>62</v>
      </c>
      <c r="Q42" s="380">
        <v>840</v>
      </c>
      <c r="R42" s="380">
        <v>840</v>
      </c>
      <c r="S42" s="380">
        <v>840</v>
      </c>
      <c r="T42" s="401" t="s">
        <v>97</v>
      </c>
    </row>
    <row r="43" spans="1:20" ht="24" customHeight="1" x14ac:dyDescent="0.2">
      <c r="A43" s="405"/>
      <c r="B43" s="407"/>
      <c r="C43" s="409"/>
      <c r="D43" s="420"/>
      <c r="E43" s="400"/>
      <c r="F43" s="398"/>
      <c r="G43" s="34" t="s">
        <v>23</v>
      </c>
      <c r="H43" s="8">
        <f>H42</f>
        <v>0.6</v>
      </c>
      <c r="I43" s="8">
        <f t="shared" ref="I43:M43" si="21">I42</f>
        <v>0</v>
      </c>
      <c r="J43" s="8">
        <f t="shared" si="21"/>
        <v>0</v>
      </c>
      <c r="K43" s="8">
        <f t="shared" si="21"/>
        <v>0</v>
      </c>
      <c r="L43" s="8">
        <f t="shared" si="21"/>
        <v>0.63</v>
      </c>
      <c r="M43" s="8">
        <f t="shared" si="21"/>
        <v>0.66150000000000009</v>
      </c>
      <c r="N43" s="8">
        <f t="shared" si="17"/>
        <v>1.8915000000000002</v>
      </c>
      <c r="O43" s="379"/>
      <c r="P43" s="381"/>
      <c r="Q43" s="381"/>
      <c r="R43" s="381"/>
      <c r="S43" s="381"/>
      <c r="T43" s="402"/>
    </row>
    <row r="44" spans="1:20" ht="14.25" customHeight="1" x14ac:dyDescent="0.2">
      <c r="A44" s="404" t="s">
        <v>36</v>
      </c>
      <c r="B44" s="406" t="s">
        <v>46</v>
      </c>
      <c r="C44" s="408" t="s">
        <v>107</v>
      </c>
      <c r="D44" s="418" t="s">
        <v>108</v>
      </c>
      <c r="E44" s="399" t="s">
        <v>36</v>
      </c>
      <c r="F44" s="397">
        <v>188718713</v>
      </c>
      <c r="G44" s="33" t="s">
        <v>95</v>
      </c>
      <c r="H44" s="7">
        <v>16.100000000000001</v>
      </c>
      <c r="I44" s="7"/>
      <c r="J44" s="7"/>
      <c r="K44" s="7"/>
      <c r="L44" s="7">
        <f t="shared" ref="L44:L45" si="22">H44*1.05</f>
        <v>16.905000000000001</v>
      </c>
      <c r="M44" s="7">
        <f t="shared" ref="M44:M45" si="23">L44*1.05</f>
        <v>17.750250000000001</v>
      </c>
      <c r="N44" s="7">
        <f t="shared" si="17"/>
        <v>50.755250000000004</v>
      </c>
      <c r="O44" s="378" t="s">
        <v>109</v>
      </c>
      <c r="P44" s="380" t="s">
        <v>62</v>
      </c>
      <c r="Q44" s="380">
        <v>1</v>
      </c>
      <c r="R44" s="380">
        <v>1</v>
      </c>
      <c r="S44" s="380">
        <v>1</v>
      </c>
      <c r="T44" s="401" t="s">
        <v>83</v>
      </c>
    </row>
    <row r="45" spans="1:20" ht="14.25" customHeight="1" x14ac:dyDescent="0.2">
      <c r="A45" s="447"/>
      <c r="B45" s="448"/>
      <c r="C45" s="427"/>
      <c r="D45" s="419"/>
      <c r="E45" s="429"/>
      <c r="F45" s="457"/>
      <c r="G45" s="33" t="s">
        <v>40</v>
      </c>
      <c r="H45" s="7">
        <v>5.8</v>
      </c>
      <c r="I45" s="7"/>
      <c r="J45" s="7"/>
      <c r="K45" s="7"/>
      <c r="L45" s="7">
        <f t="shared" si="22"/>
        <v>6.09</v>
      </c>
      <c r="M45" s="7">
        <f t="shared" si="23"/>
        <v>6.3944999999999999</v>
      </c>
      <c r="N45" s="7"/>
      <c r="O45" s="388"/>
      <c r="P45" s="389"/>
      <c r="Q45" s="389"/>
      <c r="R45" s="389"/>
      <c r="S45" s="389"/>
      <c r="T45" s="431"/>
    </row>
    <row r="46" spans="1:20" ht="14.25" customHeight="1" x14ac:dyDescent="0.2">
      <c r="A46" s="405"/>
      <c r="B46" s="407"/>
      <c r="C46" s="409"/>
      <c r="D46" s="420"/>
      <c r="E46" s="400"/>
      <c r="F46" s="398"/>
      <c r="G46" s="34" t="s">
        <v>23</v>
      </c>
      <c r="H46" s="8">
        <f>H44+H45</f>
        <v>21.900000000000002</v>
      </c>
      <c r="I46" s="8">
        <f t="shared" ref="I46:M46" si="24">I44+I45</f>
        <v>0</v>
      </c>
      <c r="J46" s="8">
        <f t="shared" si="24"/>
        <v>0</v>
      </c>
      <c r="K46" s="8">
        <f t="shared" si="24"/>
        <v>0</v>
      </c>
      <c r="L46" s="8">
        <f t="shared" si="24"/>
        <v>22.995000000000001</v>
      </c>
      <c r="M46" s="8">
        <f t="shared" si="24"/>
        <v>24.144750000000002</v>
      </c>
      <c r="N46" s="8">
        <f>H46+L46+M46</f>
        <v>69.039749999999998</v>
      </c>
      <c r="O46" s="379"/>
      <c r="P46" s="381"/>
      <c r="Q46" s="381"/>
      <c r="R46" s="381"/>
      <c r="S46" s="381"/>
      <c r="T46" s="402"/>
    </row>
    <row r="47" spans="1:20" ht="12.75" x14ac:dyDescent="0.2">
      <c r="A47" s="404" t="s">
        <v>36</v>
      </c>
      <c r="B47" s="406" t="s">
        <v>46</v>
      </c>
      <c r="C47" s="408" t="s">
        <v>59</v>
      </c>
      <c r="D47" s="418" t="s">
        <v>110</v>
      </c>
      <c r="E47" s="399" t="s">
        <v>36</v>
      </c>
      <c r="F47" s="397">
        <v>188718713</v>
      </c>
      <c r="G47" s="33" t="s">
        <v>95</v>
      </c>
      <c r="H47" s="7">
        <v>16</v>
      </c>
      <c r="I47" s="7"/>
      <c r="J47" s="7"/>
      <c r="K47" s="7"/>
      <c r="L47" s="7">
        <f t="shared" ref="L47:L48" si="25">H47*1.05</f>
        <v>16.8</v>
      </c>
      <c r="M47" s="7">
        <f t="shared" ref="M47:M48" si="26">L47*1.05</f>
        <v>17.64</v>
      </c>
      <c r="N47" s="7">
        <f t="shared" si="17"/>
        <v>50.44</v>
      </c>
      <c r="O47" s="378" t="s">
        <v>111</v>
      </c>
      <c r="P47" s="380" t="s">
        <v>62</v>
      </c>
      <c r="Q47" s="380">
        <v>50</v>
      </c>
      <c r="R47" s="380">
        <v>50</v>
      </c>
      <c r="S47" s="380">
        <v>50</v>
      </c>
      <c r="T47" s="401" t="s">
        <v>43</v>
      </c>
    </row>
    <row r="48" spans="1:20" ht="15.6" customHeight="1" x14ac:dyDescent="0.2">
      <c r="A48" s="447"/>
      <c r="B48" s="448"/>
      <c r="C48" s="427"/>
      <c r="D48" s="419"/>
      <c r="E48" s="429"/>
      <c r="F48" s="457"/>
      <c r="G48" s="33" t="s">
        <v>40</v>
      </c>
      <c r="H48" s="7">
        <v>10.7</v>
      </c>
      <c r="I48" s="7"/>
      <c r="J48" s="7"/>
      <c r="K48" s="7"/>
      <c r="L48" s="7">
        <f t="shared" si="25"/>
        <v>11.234999999999999</v>
      </c>
      <c r="M48" s="7">
        <f t="shared" si="26"/>
        <v>11.796749999999999</v>
      </c>
      <c r="N48" s="7">
        <f t="shared" si="17"/>
        <v>33.731749999999998</v>
      </c>
      <c r="O48" s="388"/>
      <c r="P48" s="389" t="s">
        <v>62</v>
      </c>
      <c r="Q48" s="389"/>
      <c r="R48" s="389"/>
      <c r="S48" s="389"/>
      <c r="T48" s="431"/>
    </row>
    <row r="49" spans="1:20" ht="12.75" x14ac:dyDescent="0.2">
      <c r="A49" s="405"/>
      <c r="B49" s="407"/>
      <c r="C49" s="409"/>
      <c r="D49" s="420"/>
      <c r="E49" s="400"/>
      <c r="F49" s="398"/>
      <c r="G49" s="34" t="s">
        <v>23</v>
      </c>
      <c r="H49" s="8">
        <f>H47+H48</f>
        <v>26.7</v>
      </c>
      <c r="I49" s="8">
        <f t="shared" ref="I49:M49" si="27">I47+I48</f>
        <v>0</v>
      </c>
      <c r="J49" s="8">
        <f t="shared" si="27"/>
        <v>0</v>
      </c>
      <c r="K49" s="8">
        <f t="shared" si="27"/>
        <v>0</v>
      </c>
      <c r="L49" s="8">
        <f t="shared" si="27"/>
        <v>28.035</v>
      </c>
      <c r="M49" s="8">
        <f t="shared" si="27"/>
        <v>29.43675</v>
      </c>
      <c r="N49" s="8">
        <f t="shared" ref="N49" si="28">+N47+N48</f>
        <v>84.171750000000003</v>
      </c>
      <c r="O49" s="379"/>
      <c r="P49" s="381"/>
      <c r="Q49" s="381"/>
      <c r="R49" s="381"/>
      <c r="S49" s="381"/>
      <c r="T49" s="402"/>
    </row>
    <row r="50" spans="1:20" ht="12.75" x14ac:dyDescent="0.2">
      <c r="A50" s="404" t="s">
        <v>36</v>
      </c>
      <c r="B50" s="406" t="s">
        <v>46</v>
      </c>
      <c r="C50" s="408" t="s">
        <v>66</v>
      </c>
      <c r="D50" s="418" t="s">
        <v>112</v>
      </c>
      <c r="E50" s="399" t="s">
        <v>36</v>
      </c>
      <c r="F50" s="397">
        <v>188718713</v>
      </c>
      <c r="G50" s="33" t="s">
        <v>95</v>
      </c>
      <c r="H50" s="7">
        <v>15.9</v>
      </c>
      <c r="I50" s="7"/>
      <c r="J50" s="7"/>
      <c r="K50" s="7"/>
      <c r="L50" s="7">
        <f t="shared" ref="L50:L51" si="29">H50*1.05</f>
        <v>16.695</v>
      </c>
      <c r="M50" s="7">
        <f t="shared" ref="M50:M51" si="30">L50*1.05</f>
        <v>17.52975</v>
      </c>
      <c r="N50" s="7">
        <f>H50+L50+M50</f>
        <v>50.124749999999999</v>
      </c>
      <c r="O50" s="378" t="s">
        <v>113</v>
      </c>
      <c r="P50" s="380" t="s">
        <v>45</v>
      </c>
      <c r="Q50" s="380">
        <v>899</v>
      </c>
      <c r="R50" s="380">
        <v>900</v>
      </c>
      <c r="S50" s="380">
        <v>900</v>
      </c>
      <c r="T50" s="401" t="s">
        <v>100</v>
      </c>
    </row>
    <row r="51" spans="1:20" ht="14.25" customHeight="1" x14ac:dyDescent="0.2">
      <c r="A51" s="447"/>
      <c r="B51" s="448"/>
      <c r="C51" s="427"/>
      <c r="D51" s="419"/>
      <c r="E51" s="429"/>
      <c r="F51" s="457"/>
      <c r="G51" s="33" t="s">
        <v>40</v>
      </c>
      <c r="H51" s="7">
        <v>9</v>
      </c>
      <c r="I51" s="7"/>
      <c r="J51" s="7"/>
      <c r="K51" s="7"/>
      <c r="L51" s="7">
        <f t="shared" si="29"/>
        <v>9.4500000000000011</v>
      </c>
      <c r="M51" s="7">
        <f t="shared" si="30"/>
        <v>9.9225000000000012</v>
      </c>
      <c r="N51" s="7">
        <f>H51+L51+M51</f>
        <v>28.372500000000002</v>
      </c>
      <c r="O51" s="388"/>
      <c r="P51" s="389"/>
      <c r="Q51" s="389"/>
      <c r="R51" s="389"/>
      <c r="S51" s="389"/>
      <c r="T51" s="431"/>
    </row>
    <row r="52" spans="1:20" ht="14.25" customHeight="1" x14ac:dyDescent="0.2">
      <c r="A52" s="405"/>
      <c r="B52" s="407"/>
      <c r="C52" s="409"/>
      <c r="D52" s="420"/>
      <c r="E52" s="400"/>
      <c r="F52" s="398"/>
      <c r="G52" s="34" t="s">
        <v>23</v>
      </c>
      <c r="H52" s="8">
        <f>H50+H51</f>
        <v>24.9</v>
      </c>
      <c r="I52" s="8">
        <f t="shared" ref="I52:M52" si="31">I50+I51</f>
        <v>0</v>
      </c>
      <c r="J52" s="8">
        <f t="shared" si="31"/>
        <v>0</v>
      </c>
      <c r="K52" s="8">
        <f t="shared" si="31"/>
        <v>0</v>
      </c>
      <c r="L52" s="8">
        <f t="shared" si="31"/>
        <v>26.145000000000003</v>
      </c>
      <c r="M52" s="8">
        <f t="shared" si="31"/>
        <v>27.452249999999999</v>
      </c>
      <c r="N52" s="8">
        <f t="shared" ref="N52" si="32">+N50+N51</f>
        <v>78.497250000000008</v>
      </c>
      <c r="O52" s="379"/>
      <c r="P52" s="381"/>
      <c r="Q52" s="381"/>
      <c r="R52" s="381"/>
      <c r="S52" s="381"/>
      <c r="T52" s="402"/>
    </row>
    <row r="53" spans="1:20" ht="12.95" customHeight="1" x14ac:dyDescent="0.2">
      <c r="A53" s="404" t="s">
        <v>36</v>
      </c>
      <c r="B53" s="406" t="s">
        <v>46</v>
      </c>
      <c r="C53" s="408" t="s">
        <v>114</v>
      </c>
      <c r="D53" s="418" t="s">
        <v>115</v>
      </c>
      <c r="E53" s="399" t="s">
        <v>36</v>
      </c>
      <c r="F53" s="397">
        <v>188718713</v>
      </c>
      <c r="G53" s="33" t="s">
        <v>95</v>
      </c>
      <c r="H53" s="7">
        <v>3.3</v>
      </c>
      <c r="I53" s="7"/>
      <c r="J53" s="7"/>
      <c r="K53" s="7"/>
      <c r="L53" s="7">
        <f>H53*1.05</f>
        <v>3.4649999999999999</v>
      </c>
      <c r="M53" s="7">
        <f>L53*1.05</f>
        <v>3.6382500000000002</v>
      </c>
      <c r="N53" s="7">
        <f t="shared" ref="N53:N60" si="33">H53+L53+M53</f>
        <v>10.40325</v>
      </c>
      <c r="O53" s="378" t="s">
        <v>116</v>
      </c>
      <c r="P53" s="380" t="s">
        <v>73</v>
      </c>
      <c r="Q53" s="380">
        <v>100</v>
      </c>
      <c r="R53" s="380">
        <v>1000</v>
      </c>
      <c r="S53" s="380">
        <v>100</v>
      </c>
      <c r="T53" s="401" t="s">
        <v>117</v>
      </c>
    </row>
    <row r="54" spans="1:20" ht="26.25" customHeight="1" x14ac:dyDescent="0.2">
      <c r="A54" s="405"/>
      <c r="B54" s="407"/>
      <c r="C54" s="409"/>
      <c r="D54" s="420"/>
      <c r="E54" s="400"/>
      <c r="F54" s="398"/>
      <c r="G54" s="34" t="s">
        <v>23</v>
      </c>
      <c r="H54" s="8">
        <f>H53</f>
        <v>3.3</v>
      </c>
      <c r="I54" s="8">
        <f t="shared" ref="I54:M54" si="34">I53</f>
        <v>0</v>
      </c>
      <c r="J54" s="8">
        <f t="shared" si="34"/>
        <v>0</v>
      </c>
      <c r="K54" s="8">
        <f t="shared" si="34"/>
        <v>0</v>
      </c>
      <c r="L54" s="8">
        <f t="shared" si="34"/>
        <v>3.4649999999999999</v>
      </c>
      <c r="M54" s="8">
        <f t="shared" si="34"/>
        <v>3.6382500000000002</v>
      </c>
      <c r="N54" s="8">
        <f t="shared" si="33"/>
        <v>10.40325</v>
      </c>
      <c r="O54" s="379"/>
      <c r="P54" s="381"/>
      <c r="Q54" s="381"/>
      <c r="R54" s="381"/>
      <c r="S54" s="381"/>
      <c r="T54" s="402"/>
    </row>
    <row r="55" spans="1:20" ht="14.25" customHeight="1" x14ac:dyDescent="0.2">
      <c r="A55" s="404" t="s">
        <v>36</v>
      </c>
      <c r="B55" s="406" t="s">
        <v>46</v>
      </c>
      <c r="C55" s="408" t="s">
        <v>70</v>
      </c>
      <c r="D55" s="415" t="s">
        <v>118</v>
      </c>
      <c r="E55" s="422" t="s">
        <v>46</v>
      </c>
      <c r="F55" s="458">
        <v>188718713</v>
      </c>
      <c r="G55" s="95" t="s">
        <v>95</v>
      </c>
      <c r="H55" s="96">
        <v>10.3</v>
      </c>
      <c r="I55" s="96"/>
      <c r="J55" s="96"/>
      <c r="K55" s="96"/>
      <c r="L55" s="7">
        <f>H55*1.05</f>
        <v>10.815000000000001</v>
      </c>
      <c r="M55" s="7">
        <f>L55*1.05</f>
        <v>11.355750000000002</v>
      </c>
      <c r="N55" s="96">
        <f t="shared" si="33"/>
        <v>32.470750000000002</v>
      </c>
      <c r="O55" s="378" t="s">
        <v>119</v>
      </c>
      <c r="P55" s="380" t="s">
        <v>62</v>
      </c>
      <c r="Q55" s="380">
        <v>1</v>
      </c>
      <c r="R55" s="380">
        <v>1</v>
      </c>
      <c r="S55" s="380">
        <v>1</v>
      </c>
      <c r="T55" s="460" t="s">
        <v>69</v>
      </c>
    </row>
    <row r="56" spans="1:20" ht="14.25" customHeight="1" x14ac:dyDescent="0.2">
      <c r="A56" s="405"/>
      <c r="B56" s="407"/>
      <c r="C56" s="409"/>
      <c r="D56" s="416"/>
      <c r="E56" s="423"/>
      <c r="F56" s="459"/>
      <c r="G56" s="97" t="s">
        <v>23</v>
      </c>
      <c r="H56" s="98">
        <f>H55</f>
        <v>10.3</v>
      </c>
      <c r="I56" s="98">
        <f t="shared" ref="I56:M56" si="35">I55</f>
        <v>0</v>
      </c>
      <c r="J56" s="98">
        <f t="shared" si="35"/>
        <v>0</v>
      </c>
      <c r="K56" s="98">
        <f t="shared" si="35"/>
        <v>0</v>
      </c>
      <c r="L56" s="98">
        <f t="shared" si="35"/>
        <v>10.815000000000001</v>
      </c>
      <c r="M56" s="98">
        <f t="shared" si="35"/>
        <v>11.355750000000002</v>
      </c>
      <c r="N56" s="98">
        <f t="shared" si="33"/>
        <v>32.470750000000002</v>
      </c>
      <c r="O56" s="379"/>
      <c r="P56" s="381"/>
      <c r="Q56" s="381"/>
      <c r="R56" s="381"/>
      <c r="S56" s="381"/>
      <c r="T56" s="461"/>
    </row>
    <row r="57" spans="1:20" ht="14.25" customHeight="1" x14ac:dyDescent="0.2">
      <c r="A57" s="404" t="s">
        <v>36</v>
      </c>
      <c r="B57" s="406" t="s">
        <v>46</v>
      </c>
      <c r="C57" s="408" t="s">
        <v>75</v>
      </c>
      <c r="D57" s="418" t="s">
        <v>120</v>
      </c>
      <c r="E57" s="399" t="s">
        <v>36</v>
      </c>
      <c r="F57" s="397">
        <v>188718713</v>
      </c>
      <c r="G57" s="33" t="s">
        <v>40</v>
      </c>
      <c r="H57" s="7">
        <v>30</v>
      </c>
      <c r="I57" s="7"/>
      <c r="J57" s="7"/>
      <c r="K57" s="7"/>
      <c r="L57" s="7">
        <f>H57*1.05</f>
        <v>31.5</v>
      </c>
      <c r="M57" s="7">
        <f>L57*1.05</f>
        <v>33.075000000000003</v>
      </c>
      <c r="N57" s="7">
        <f t="shared" si="33"/>
        <v>94.575000000000003</v>
      </c>
      <c r="O57" s="378" t="s">
        <v>121</v>
      </c>
      <c r="P57" s="380" t="s">
        <v>62</v>
      </c>
      <c r="Q57" s="380">
        <v>1</v>
      </c>
      <c r="R57" s="380">
        <v>0</v>
      </c>
      <c r="S57" s="380">
        <v>0</v>
      </c>
      <c r="T57" s="401" t="s">
        <v>122</v>
      </c>
    </row>
    <row r="58" spans="1:20" ht="14.25" customHeight="1" x14ac:dyDescent="0.2">
      <c r="A58" s="405"/>
      <c r="B58" s="407"/>
      <c r="C58" s="409"/>
      <c r="D58" s="420"/>
      <c r="E58" s="400"/>
      <c r="F58" s="398"/>
      <c r="G58" s="34" t="s">
        <v>23</v>
      </c>
      <c r="H58" s="8">
        <f>H57</f>
        <v>30</v>
      </c>
      <c r="I58" s="8">
        <f t="shared" ref="I58:M58" si="36">I57</f>
        <v>0</v>
      </c>
      <c r="J58" s="8">
        <f t="shared" si="36"/>
        <v>0</v>
      </c>
      <c r="K58" s="8">
        <f t="shared" si="36"/>
        <v>0</v>
      </c>
      <c r="L58" s="8">
        <f t="shared" si="36"/>
        <v>31.5</v>
      </c>
      <c r="M58" s="8">
        <f t="shared" si="36"/>
        <v>33.075000000000003</v>
      </c>
      <c r="N58" s="8">
        <f t="shared" si="33"/>
        <v>94.575000000000003</v>
      </c>
      <c r="O58" s="388"/>
      <c r="P58" s="381"/>
      <c r="Q58" s="389"/>
      <c r="R58" s="389"/>
      <c r="S58" s="389"/>
      <c r="T58" s="402"/>
    </row>
    <row r="59" spans="1:20" ht="12.75" x14ac:dyDescent="0.2">
      <c r="A59" s="404" t="s">
        <v>36</v>
      </c>
      <c r="B59" s="406" t="s">
        <v>46</v>
      </c>
      <c r="C59" s="408" t="s">
        <v>80</v>
      </c>
      <c r="D59" s="418" t="s">
        <v>123</v>
      </c>
      <c r="E59" s="399" t="s">
        <v>36</v>
      </c>
      <c r="F59" s="397">
        <v>188718713</v>
      </c>
      <c r="G59" s="33" t="s">
        <v>95</v>
      </c>
      <c r="H59" s="7">
        <v>0.1</v>
      </c>
      <c r="I59" s="7"/>
      <c r="J59" s="7"/>
      <c r="K59" s="7"/>
      <c r="L59" s="7">
        <f>H59*1.05</f>
        <v>0.10500000000000001</v>
      </c>
      <c r="M59" s="7">
        <f>L59*1.05</f>
        <v>0.11025000000000001</v>
      </c>
      <c r="N59" s="99">
        <f t="shared" si="33"/>
        <v>0.31525000000000003</v>
      </c>
      <c r="O59" s="392" t="s">
        <v>124</v>
      </c>
      <c r="P59" s="394" t="s">
        <v>125</v>
      </c>
      <c r="Q59" s="396">
        <v>3</v>
      </c>
      <c r="R59" s="396">
        <v>1</v>
      </c>
      <c r="S59" s="396">
        <v>1</v>
      </c>
      <c r="T59" s="464" t="s">
        <v>126</v>
      </c>
    </row>
    <row r="60" spans="1:20" ht="39" customHeight="1" x14ac:dyDescent="0.2">
      <c r="A60" s="405"/>
      <c r="B60" s="407"/>
      <c r="C60" s="409"/>
      <c r="D60" s="420"/>
      <c r="E60" s="400"/>
      <c r="F60" s="398"/>
      <c r="G60" s="34" t="s">
        <v>23</v>
      </c>
      <c r="H60" s="8">
        <f>H59</f>
        <v>0.1</v>
      </c>
      <c r="I60" s="8">
        <f t="shared" ref="I60:M60" si="37">I59</f>
        <v>0</v>
      </c>
      <c r="J60" s="8">
        <f t="shared" si="37"/>
        <v>0</v>
      </c>
      <c r="K60" s="8">
        <f t="shared" si="37"/>
        <v>0</v>
      </c>
      <c r="L60" s="8">
        <f t="shared" si="37"/>
        <v>0.10500000000000001</v>
      </c>
      <c r="M60" s="8">
        <f t="shared" si="37"/>
        <v>0.11025000000000001</v>
      </c>
      <c r="N60" s="100">
        <f t="shared" si="33"/>
        <v>0.31525000000000003</v>
      </c>
      <c r="O60" s="393" t="s">
        <v>127</v>
      </c>
      <c r="P60" s="395"/>
      <c r="Q60" s="396"/>
      <c r="R60" s="396"/>
      <c r="S60" s="396"/>
      <c r="T60" s="465"/>
    </row>
    <row r="61" spans="1:20" ht="14.25" customHeight="1" x14ac:dyDescent="0.2">
      <c r="A61" s="27" t="s">
        <v>46</v>
      </c>
      <c r="B61" s="28" t="s">
        <v>128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101"/>
      <c r="P61" s="29"/>
      <c r="Q61" s="91"/>
      <c r="R61" s="91"/>
      <c r="S61" s="91"/>
      <c r="T61" s="35"/>
    </row>
    <row r="62" spans="1:20" ht="14.25" customHeight="1" x14ac:dyDescent="0.2">
      <c r="A62" s="27" t="s">
        <v>46</v>
      </c>
      <c r="B62" s="32" t="s">
        <v>36</v>
      </c>
      <c r="C62" s="36" t="s">
        <v>129</v>
      </c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78"/>
      <c r="P62" s="37"/>
      <c r="Q62" s="37"/>
      <c r="R62" s="37"/>
      <c r="S62" s="37"/>
      <c r="T62" s="38"/>
    </row>
    <row r="63" spans="1:20" ht="14.25" customHeight="1" x14ac:dyDescent="0.2">
      <c r="A63" s="404" t="s">
        <v>46</v>
      </c>
      <c r="B63" s="406" t="s">
        <v>36</v>
      </c>
      <c r="C63" s="410" t="s">
        <v>36</v>
      </c>
      <c r="D63" s="413" t="s">
        <v>130</v>
      </c>
      <c r="E63" s="399" t="s">
        <v>36</v>
      </c>
      <c r="F63" s="397">
        <v>188718713</v>
      </c>
      <c r="G63" s="33" t="s">
        <v>40</v>
      </c>
      <c r="H63" s="7">
        <v>20</v>
      </c>
      <c r="I63" s="7"/>
      <c r="J63" s="7"/>
      <c r="K63" s="7"/>
      <c r="L63" s="7">
        <f>H63*1.05</f>
        <v>21</v>
      </c>
      <c r="M63" s="7">
        <f>L63*1.05</f>
        <v>22.05</v>
      </c>
      <c r="N63" s="7">
        <f>H63+L63+M63</f>
        <v>63.05</v>
      </c>
      <c r="O63" s="378" t="s">
        <v>131</v>
      </c>
      <c r="P63" s="380" t="s">
        <v>62</v>
      </c>
      <c r="Q63" s="380">
        <v>4</v>
      </c>
      <c r="R63" s="380">
        <v>4</v>
      </c>
      <c r="S63" s="380">
        <v>4</v>
      </c>
      <c r="T63" s="401" t="s">
        <v>132</v>
      </c>
    </row>
    <row r="64" spans="1:20" ht="14.25" customHeight="1" x14ac:dyDescent="0.2">
      <c r="A64" s="405"/>
      <c r="B64" s="407"/>
      <c r="C64" s="411"/>
      <c r="D64" s="414"/>
      <c r="E64" s="400"/>
      <c r="F64" s="398"/>
      <c r="G64" s="34" t="s">
        <v>23</v>
      </c>
      <c r="H64" s="8">
        <f>H63</f>
        <v>20</v>
      </c>
      <c r="I64" s="8">
        <f t="shared" ref="I64:M64" si="38">I63</f>
        <v>0</v>
      </c>
      <c r="J64" s="8">
        <f t="shared" si="38"/>
        <v>0</v>
      </c>
      <c r="K64" s="8">
        <f t="shared" si="38"/>
        <v>0</v>
      </c>
      <c r="L64" s="8">
        <f t="shared" si="38"/>
        <v>21</v>
      </c>
      <c r="M64" s="8">
        <f t="shared" si="38"/>
        <v>22.05</v>
      </c>
      <c r="N64" s="8">
        <f>H64+L64+M64</f>
        <v>63.05</v>
      </c>
      <c r="O64" s="379"/>
      <c r="P64" s="381"/>
      <c r="Q64" s="381"/>
      <c r="R64" s="381"/>
      <c r="S64" s="381"/>
      <c r="T64" s="402"/>
    </row>
    <row r="65" spans="1:20" ht="14.25" customHeight="1" x14ac:dyDescent="0.2">
      <c r="A65" s="404" t="s">
        <v>46</v>
      </c>
      <c r="B65" s="406" t="s">
        <v>36</v>
      </c>
      <c r="C65" s="453" t="s">
        <v>46</v>
      </c>
      <c r="D65" s="412" t="s">
        <v>133</v>
      </c>
      <c r="E65" s="399" t="s">
        <v>36</v>
      </c>
      <c r="F65" s="397">
        <v>188718713</v>
      </c>
      <c r="G65" s="33" t="s">
        <v>40</v>
      </c>
      <c r="H65" s="7">
        <v>334.9</v>
      </c>
      <c r="I65" s="7"/>
      <c r="J65" s="7"/>
      <c r="K65" s="7"/>
      <c r="L65" s="7">
        <f>H65*1.05</f>
        <v>351.64499999999998</v>
      </c>
      <c r="M65" s="7">
        <f>L65*1.05</f>
        <v>369.22724999999997</v>
      </c>
      <c r="N65" s="7">
        <f>H65+L65+M65</f>
        <v>1055.77225</v>
      </c>
      <c r="O65" s="378" t="s">
        <v>134</v>
      </c>
      <c r="P65" s="380" t="s">
        <v>62</v>
      </c>
      <c r="Q65" s="380">
        <v>3</v>
      </c>
      <c r="R65" s="380">
        <v>3</v>
      </c>
      <c r="S65" s="380">
        <v>3</v>
      </c>
      <c r="T65" s="401" t="s">
        <v>132</v>
      </c>
    </row>
    <row r="66" spans="1:20" ht="12.75" x14ac:dyDescent="0.2">
      <c r="A66" s="405"/>
      <c r="B66" s="407"/>
      <c r="C66" s="454"/>
      <c r="D66" s="412"/>
      <c r="E66" s="400"/>
      <c r="F66" s="398"/>
      <c r="G66" s="34" t="s">
        <v>23</v>
      </c>
      <c r="H66" s="8">
        <f>H65</f>
        <v>334.9</v>
      </c>
      <c r="I66" s="8">
        <f t="shared" ref="I66:M66" si="39">I65</f>
        <v>0</v>
      </c>
      <c r="J66" s="8">
        <f t="shared" si="39"/>
        <v>0</v>
      </c>
      <c r="K66" s="8">
        <f t="shared" si="39"/>
        <v>0</v>
      </c>
      <c r="L66" s="8">
        <f t="shared" si="39"/>
        <v>351.64499999999998</v>
      </c>
      <c r="M66" s="8">
        <f t="shared" si="39"/>
        <v>369.22724999999997</v>
      </c>
      <c r="N66" s="8">
        <f>H66+L66+M66</f>
        <v>1055.77225</v>
      </c>
      <c r="O66" s="379"/>
      <c r="P66" s="381"/>
      <c r="Q66" s="381"/>
      <c r="R66" s="381"/>
      <c r="S66" s="381"/>
      <c r="T66" s="402"/>
    </row>
    <row r="67" spans="1:20" ht="14.25" customHeight="1" x14ac:dyDescent="0.2">
      <c r="A67" s="27" t="s">
        <v>46</v>
      </c>
      <c r="B67" s="39" t="s">
        <v>46</v>
      </c>
      <c r="C67" s="424" t="s">
        <v>135</v>
      </c>
      <c r="D67" s="425"/>
      <c r="E67" s="425"/>
      <c r="F67" s="425"/>
      <c r="G67" s="425"/>
      <c r="H67" s="425"/>
      <c r="I67" s="425"/>
      <c r="J67" s="425"/>
      <c r="K67" s="425"/>
      <c r="L67" s="425"/>
      <c r="M67" s="425"/>
      <c r="N67" s="425"/>
      <c r="O67" s="425"/>
      <c r="P67" s="425"/>
      <c r="Q67" s="425"/>
      <c r="R67" s="425"/>
      <c r="S67" s="425"/>
      <c r="T67" s="426"/>
    </row>
    <row r="68" spans="1:20" ht="12.75" x14ac:dyDescent="0.2">
      <c r="A68" s="404" t="s">
        <v>46</v>
      </c>
      <c r="B68" s="406" t="s">
        <v>46</v>
      </c>
      <c r="C68" s="449" t="s">
        <v>36</v>
      </c>
      <c r="D68" s="450" t="s">
        <v>136</v>
      </c>
      <c r="E68" s="399" t="s">
        <v>36</v>
      </c>
      <c r="F68" s="397">
        <v>188718713</v>
      </c>
      <c r="G68" s="40" t="s">
        <v>40</v>
      </c>
      <c r="H68" s="7">
        <v>120</v>
      </c>
      <c r="I68" s="7"/>
      <c r="J68" s="7"/>
      <c r="K68" s="7"/>
      <c r="L68" s="7">
        <f>H68*1.05</f>
        <v>126</v>
      </c>
      <c r="M68" s="7">
        <f>L68*1.05</f>
        <v>132.30000000000001</v>
      </c>
      <c r="N68" s="7">
        <f>H68+L68+M68</f>
        <v>378.3</v>
      </c>
      <c r="O68" s="84" t="s">
        <v>137</v>
      </c>
      <c r="P68" s="82" t="s">
        <v>62</v>
      </c>
      <c r="Q68" s="82">
        <v>6</v>
      </c>
      <c r="R68" s="82">
        <v>6</v>
      </c>
      <c r="S68" s="82">
        <v>6</v>
      </c>
      <c r="T68" s="401" t="s">
        <v>138</v>
      </c>
    </row>
    <row r="69" spans="1:20" ht="25.5" x14ac:dyDescent="0.2">
      <c r="A69" s="405"/>
      <c r="B69" s="407"/>
      <c r="C69" s="411"/>
      <c r="D69" s="414"/>
      <c r="E69" s="400"/>
      <c r="F69" s="398"/>
      <c r="G69" s="34" t="s">
        <v>23</v>
      </c>
      <c r="H69" s="8">
        <f>H68</f>
        <v>120</v>
      </c>
      <c r="I69" s="8">
        <f t="shared" ref="I69:M69" si="40">I68</f>
        <v>0</v>
      </c>
      <c r="J69" s="8">
        <f t="shared" si="40"/>
        <v>0</v>
      </c>
      <c r="K69" s="8">
        <f t="shared" si="40"/>
        <v>0</v>
      </c>
      <c r="L69" s="8">
        <f t="shared" si="40"/>
        <v>126</v>
      </c>
      <c r="M69" s="8">
        <f t="shared" si="40"/>
        <v>132.30000000000001</v>
      </c>
      <c r="N69" s="8">
        <f t="shared" ref="N69" si="41">+N68</f>
        <v>378.3</v>
      </c>
      <c r="O69" s="75" t="s">
        <v>139</v>
      </c>
      <c r="P69" s="83" t="s">
        <v>62</v>
      </c>
      <c r="Q69" s="83">
        <v>10</v>
      </c>
      <c r="R69" s="83">
        <v>10</v>
      </c>
      <c r="S69" s="83">
        <v>10</v>
      </c>
      <c r="T69" s="402"/>
    </row>
    <row r="70" spans="1:20" s="43" customFormat="1" ht="13.5" customHeight="1" x14ac:dyDescent="0.2">
      <c r="A70" s="493" t="s">
        <v>46</v>
      </c>
      <c r="B70" s="442" t="s">
        <v>46</v>
      </c>
      <c r="C70" s="452" t="s">
        <v>50</v>
      </c>
      <c r="D70" s="428" t="s">
        <v>140</v>
      </c>
      <c r="E70" s="430" t="s">
        <v>36</v>
      </c>
      <c r="F70" s="432">
        <v>188718713</v>
      </c>
      <c r="G70" s="41" t="s">
        <v>141</v>
      </c>
      <c r="H70" s="42"/>
      <c r="I70" s="42"/>
      <c r="J70" s="42"/>
      <c r="K70" s="42"/>
      <c r="L70" s="7"/>
      <c r="M70" s="7"/>
      <c r="N70" s="42">
        <f>H70+L70+M70</f>
        <v>0</v>
      </c>
      <c r="O70" s="382" t="s">
        <v>142</v>
      </c>
      <c r="P70" s="384" t="s">
        <v>62</v>
      </c>
      <c r="Q70" s="384">
        <v>0</v>
      </c>
      <c r="R70" s="384">
        <v>2</v>
      </c>
      <c r="S70" s="384">
        <v>2</v>
      </c>
      <c r="T70" s="403" t="s">
        <v>143</v>
      </c>
    </row>
    <row r="71" spans="1:20" s="43" customFormat="1" ht="12.75" x14ac:dyDescent="0.2">
      <c r="A71" s="493"/>
      <c r="B71" s="442"/>
      <c r="C71" s="452"/>
      <c r="D71" s="428"/>
      <c r="E71" s="430"/>
      <c r="F71" s="432"/>
      <c r="G71" s="41" t="s">
        <v>40</v>
      </c>
      <c r="H71" s="42">
        <v>35</v>
      </c>
      <c r="I71" s="42"/>
      <c r="J71" s="42"/>
      <c r="K71" s="42"/>
      <c r="L71" s="7">
        <f>H71*1.05</f>
        <v>36.75</v>
      </c>
      <c r="M71" s="7">
        <f>L71*1.05</f>
        <v>38.587499999999999</v>
      </c>
      <c r="N71" s="42">
        <f>H71+L71+M71</f>
        <v>110.33750000000001</v>
      </c>
      <c r="O71" s="499"/>
      <c r="P71" s="417"/>
      <c r="Q71" s="417"/>
      <c r="R71" s="417"/>
      <c r="S71" s="417"/>
      <c r="T71" s="403"/>
    </row>
    <row r="72" spans="1:20" s="43" customFormat="1" ht="13.5" customHeight="1" x14ac:dyDescent="0.2">
      <c r="A72" s="493"/>
      <c r="B72" s="442"/>
      <c r="C72" s="452"/>
      <c r="D72" s="428"/>
      <c r="E72" s="430"/>
      <c r="F72" s="432"/>
      <c r="G72" s="41" t="s">
        <v>144</v>
      </c>
      <c r="H72" s="42"/>
      <c r="I72" s="42"/>
      <c r="J72" s="42"/>
      <c r="K72" s="42"/>
      <c r="L72" s="7"/>
      <c r="M72" s="7"/>
      <c r="N72" s="42">
        <f>H72+L72+M72</f>
        <v>0</v>
      </c>
      <c r="O72" s="499"/>
      <c r="P72" s="417"/>
      <c r="Q72" s="417"/>
      <c r="R72" s="417"/>
      <c r="S72" s="417"/>
      <c r="T72" s="403"/>
    </row>
    <row r="73" spans="1:20" s="43" customFormat="1" ht="13.5" customHeight="1" x14ac:dyDescent="0.2">
      <c r="A73" s="493"/>
      <c r="B73" s="442"/>
      <c r="C73" s="452"/>
      <c r="D73" s="428"/>
      <c r="E73" s="430"/>
      <c r="F73" s="432"/>
      <c r="G73" s="44" t="s">
        <v>23</v>
      </c>
      <c r="H73" s="45">
        <f>H70+H71+H72</f>
        <v>35</v>
      </c>
      <c r="I73" s="45">
        <f t="shared" ref="I73:M73" si="42">I70+I71+I72</f>
        <v>0</v>
      </c>
      <c r="J73" s="45">
        <f t="shared" si="42"/>
        <v>0</v>
      </c>
      <c r="K73" s="45">
        <f t="shared" si="42"/>
        <v>0</v>
      </c>
      <c r="L73" s="45">
        <f t="shared" si="42"/>
        <v>36.75</v>
      </c>
      <c r="M73" s="45">
        <f t="shared" si="42"/>
        <v>38.587499999999999</v>
      </c>
      <c r="N73" s="45">
        <f t="shared" ref="N73" si="43">+N70+N72+N71</f>
        <v>110.33750000000001</v>
      </c>
      <c r="O73" s="387"/>
      <c r="P73" s="386"/>
      <c r="Q73" s="386"/>
      <c r="R73" s="386"/>
      <c r="S73" s="386"/>
      <c r="T73" s="403"/>
    </row>
    <row r="74" spans="1:20" x14ac:dyDescent="0.2">
      <c r="A74" s="27" t="s">
        <v>50</v>
      </c>
      <c r="B74" s="28" t="s">
        <v>145</v>
      </c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73"/>
      <c r="P74" s="29"/>
      <c r="Q74" s="29"/>
      <c r="R74" s="29"/>
      <c r="S74" s="29"/>
      <c r="T74" s="35"/>
    </row>
    <row r="75" spans="1:20" ht="17.25" customHeight="1" x14ac:dyDescent="0.2">
      <c r="A75" s="27" t="s">
        <v>50</v>
      </c>
      <c r="B75" s="32" t="s">
        <v>36</v>
      </c>
      <c r="C75" s="36" t="s">
        <v>146</v>
      </c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78"/>
      <c r="P75" s="37"/>
      <c r="Q75" s="37"/>
      <c r="R75" s="37"/>
      <c r="S75" s="37"/>
      <c r="T75" s="38"/>
    </row>
    <row r="76" spans="1:20" ht="12.75" x14ac:dyDescent="0.2">
      <c r="A76" s="404" t="s">
        <v>50</v>
      </c>
      <c r="B76" s="406" t="s">
        <v>36</v>
      </c>
      <c r="C76" s="410" t="s">
        <v>107</v>
      </c>
      <c r="D76" s="413" t="s">
        <v>147</v>
      </c>
      <c r="E76" s="399" t="s">
        <v>36</v>
      </c>
      <c r="F76" s="397">
        <v>188718713</v>
      </c>
      <c r="G76" s="33" t="s">
        <v>141</v>
      </c>
      <c r="H76" s="4">
        <v>38.9</v>
      </c>
      <c r="I76" s="4"/>
      <c r="J76" s="4"/>
      <c r="K76" s="4"/>
      <c r="L76" s="7"/>
      <c r="M76" s="7"/>
      <c r="N76" s="2">
        <f>H76+L76+M76</f>
        <v>38.9</v>
      </c>
      <c r="O76" s="382" t="s">
        <v>148</v>
      </c>
      <c r="P76" s="384" t="s">
        <v>62</v>
      </c>
      <c r="Q76" s="384">
        <v>2</v>
      </c>
      <c r="R76" s="384">
        <v>0</v>
      </c>
      <c r="S76" s="384">
        <v>0</v>
      </c>
      <c r="T76" s="401" t="s">
        <v>138</v>
      </c>
    </row>
    <row r="77" spans="1:20" ht="12.75" x14ac:dyDescent="0.2">
      <c r="A77" s="447"/>
      <c r="B77" s="448"/>
      <c r="C77" s="449"/>
      <c r="D77" s="450"/>
      <c r="E77" s="429"/>
      <c r="F77" s="457"/>
      <c r="G77" s="33" t="s">
        <v>149</v>
      </c>
      <c r="H77" s="4"/>
      <c r="I77" s="4"/>
      <c r="J77" s="4"/>
      <c r="K77" s="4"/>
      <c r="L77" s="7"/>
      <c r="M77" s="7"/>
      <c r="N77" s="2">
        <f>H77+L77+M77</f>
        <v>0</v>
      </c>
      <c r="O77" s="499"/>
      <c r="P77" s="417"/>
      <c r="Q77" s="417"/>
      <c r="R77" s="417"/>
      <c r="S77" s="417"/>
      <c r="T77" s="431"/>
    </row>
    <row r="78" spans="1:20" ht="12.75" x14ac:dyDescent="0.2">
      <c r="A78" s="447"/>
      <c r="B78" s="448"/>
      <c r="C78" s="449"/>
      <c r="D78" s="450"/>
      <c r="E78" s="429"/>
      <c r="F78" s="457"/>
      <c r="G78" s="33" t="s">
        <v>40</v>
      </c>
      <c r="H78" s="4">
        <v>6.9</v>
      </c>
      <c r="I78" s="4"/>
      <c r="J78" s="4"/>
      <c r="K78" s="4"/>
      <c r="L78" s="7">
        <f>H78*1.05</f>
        <v>7.245000000000001</v>
      </c>
      <c r="M78" s="7">
        <f>L78*1.05</f>
        <v>7.6072500000000014</v>
      </c>
      <c r="N78" s="2">
        <f>H78+L78+M78</f>
        <v>21.752250000000004</v>
      </c>
      <c r="O78" s="499"/>
      <c r="P78" s="417"/>
      <c r="Q78" s="417"/>
      <c r="R78" s="417"/>
      <c r="S78" s="417"/>
      <c r="T78" s="431"/>
    </row>
    <row r="79" spans="1:20" ht="12.75" x14ac:dyDescent="0.2">
      <c r="A79" s="405"/>
      <c r="B79" s="407"/>
      <c r="C79" s="411"/>
      <c r="D79" s="414"/>
      <c r="E79" s="400"/>
      <c r="F79" s="398"/>
      <c r="G79" s="34" t="s">
        <v>23</v>
      </c>
      <c r="H79" s="4">
        <f>H76+H77+H78</f>
        <v>45.8</v>
      </c>
      <c r="I79" s="4">
        <f t="shared" ref="I79:K79" si="44">I76+I77</f>
        <v>0</v>
      </c>
      <c r="J79" s="4">
        <f t="shared" si="44"/>
        <v>0</v>
      </c>
      <c r="K79" s="4">
        <f t="shared" si="44"/>
        <v>0</v>
      </c>
      <c r="L79" s="4">
        <f>L76+L77+L78</f>
        <v>7.245000000000001</v>
      </c>
      <c r="M79" s="4">
        <f>M76+M77+M78</f>
        <v>7.6072500000000014</v>
      </c>
      <c r="N79" s="2">
        <f t="shared" ref="N79" si="45">H79+L79+M79</f>
        <v>60.652250000000002</v>
      </c>
      <c r="O79" s="387"/>
      <c r="P79" s="386"/>
      <c r="Q79" s="386"/>
      <c r="R79" s="386"/>
      <c r="S79" s="386"/>
      <c r="T79" s="402"/>
    </row>
    <row r="80" spans="1:20" ht="26.1" customHeight="1" x14ac:dyDescent="0.2">
      <c r="A80" s="404" t="s">
        <v>50</v>
      </c>
      <c r="B80" s="406" t="s">
        <v>36</v>
      </c>
      <c r="C80" s="503" t="s">
        <v>59</v>
      </c>
      <c r="D80" s="413" t="s">
        <v>150</v>
      </c>
      <c r="E80" s="399" t="s">
        <v>36</v>
      </c>
      <c r="F80" s="397">
        <v>188718713</v>
      </c>
      <c r="G80" s="33" t="s">
        <v>40</v>
      </c>
      <c r="H80" s="4"/>
      <c r="I80" s="4"/>
      <c r="J80" s="4"/>
      <c r="K80" s="4"/>
      <c r="L80" s="7"/>
      <c r="M80" s="7"/>
      <c r="N80" s="2">
        <f>H80+L80+M80</f>
        <v>0</v>
      </c>
      <c r="O80" s="84" t="s">
        <v>151</v>
      </c>
      <c r="P80" s="88" t="s">
        <v>62</v>
      </c>
      <c r="Q80" s="88">
        <v>1</v>
      </c>
      <c r="R80" s="88">
        <v>1</v>
      </c>
      <c r="S80" s="88">
        <v>1</v>
      </c>
      <c r="T80" s="497" t="s">
        <v>152</v>
      </c>
    </row>
    <row r="81" spans="1:20" ht="38.25" x14ac:dyDescent="0.2">
      <c r="A81" s="405"/>
      <c r="B81" s="407"/>
      <c r="C81" s="504"/>
      <c r="D81" s="414"/>
      <c r="E81" s="400"/>
      <c r="F81" s="398"/>
      <c r="G81" s="34" t="s">
        <v>23</v>
      </c>
      <c r="H81" s="4">
        <f>H80</f>
        <v>0</v>
      </c>
      <c r="I81" s="4">
        <f t="shared" ref="I81:M81" si="46">I80</f>
        <v>0</v>
      </c>
      <c r="J81" s="4">
        <f t="shared" si="46"/>
        <v>0</v>
      </c>
      <c r="K81" s="4">
        <f t="shared" si="46"/>
        <v>0</v>
      </c>
      <c r="L81" s="4">
        <f t="shared" si="46"/>
        <v>0</v>
      </c>
      <c r="M81" s="4">
        <f t="shared" si="46"/>
        <v>0</v>
      </c>
      <c r="N81" s="4">
        <f>+N80</f>
        <v>0</v>
      </c>
      <c r="O81" s="84" t="s">
        <v>153</v>
      </c>
      <c r="P81" s="88" t="s">
        <v>62</v>
      </c>
      <c r="Q81" s="88">
        <v>1</v>
      </c>
      <c r="R81" s="88">
        <v>1</v>
      </c>
      <c r="S81" s="88">
        <v>1</v>
      </c>
      <c r="T81" s="498"/>
    </row>
    <row r="82" spans="1:20" ht="12.75" x14ac:dyDescent="0.2">
      <c r="A82" s="404" t="s">
        <v>50</v>
      </c>
      <c r="B82" s="406" t="s">
        <v>36</v>
      </c>
      <c r="C82" s="503" t="s">
        <v>66</v>
      </c>
      <c r="D82" s="413" t="s">
        <v>154</v>
      </c>
      <c r="E82" s="399" t="s">
        <v>36</v>
      </c>
      <c r="F82" s="397">
        <v>188718713</v>
      </c>
      <c r="G82" s="33" t="s">
        <v>40</v>
      </c>
      <c r="H82" s="4"/>
      <c r="I82" s="4"/>
      <c r="J82" s="4"/>
      <c r="K82" s="4"/>
      <c r="L82" s="7"/>
      <c r="M82" s="7"/>
      <c r="N82" s="2">
        <f>H82+L82+M82</f>
        <v>0</v>
      </c>
      <c r="O82" s="382" t="s">
        <v>155</v>
      </c>
      <c r="P82" s="384" t="s">
        <v>62</v>
      </c>
      <c r="Q82" s="384">
        <v>1</v>
      </c>
      <c r="R82" s="384">
        <v>1</v>
      </c>
      <c r="S82" s="384">
        <v>1</v>
      </c>
      <c r="T82" s="497" t="s">
        <v>156</v>
      </c>
    </row>
    <row r="83" spans="1:20" ht="17.25" customHeight="1" x14ac:dyDescent="0.2">
      <c r="A83" s="405"/>
      <c r="B83" s="407"/>
      <c r="C83" s="504"/>
      <c r="D83" s="414"/>
      <c r="E83" s="400"/>
      <c r="F83" s="398"/>
      <c r="G83" s="34" t="s">
        <v>23</v>
      </c>
      <c r="H83" s="4">
        <f>H82</f>
        <v>0</v>
      </c>
      <c r="I83" s="4">
        <f t="shared" ref="I83:M83" si="47">I82</f>
        <v>0</v>
      </c>
      <c r="J83" s="4">
        <f t="shared" si="47"/>
        <v>0</v>
      </c>
      <c r="K83" s="4">
        <f t="shared" si="47"/>
        <v>0</v>
      </c>
      <c r="L83" s="4">
        <f t="shared" si="47"/>
        <v>0</v>
      </c>
      <c r="M83" s="4">
        <f t="shared" si="47"/>
        <v>0</v>
      </c>
      <c r="N83" s="4">
        <f>+N82</f>
        <v>0</v>
      </c>
      <c r="O83" s="387"/>
      <c r="P83" s="386"/>
      <c r="Q83" s="417"/>
      <c r="R83" s="386"/>
      <c r="S83" s="386"/>
      <c r="T83" s="498"/>
    </row>
    <row r="84" spans="1:20" ht="17.25" customHeight="1" x14ac:dyDescent="0.2">
      <c r="A84" s="404" t="s">
        <v>50</v>
      </c>
      <c r="B84" s="406" t="s">
        <v>36</v>
      </c>
      <c r="C84" s="503" t="s">
        <v>114</v>
      </c>
      <c r="D84" s="521" t="s">
        <v>157</v>
      </c>
      <c r="E84" s="399" t="s">
        <v>36</v>
      </c>
      <c r="F84" s="397">
        <v>188718713</v>
      </c>
      <c r="G84" s="41" t="s">
        <v>141</v>
      </c>
      <c r="H84" s="42"/>
      <c r="I84" s="42"/>
      <c r="J84" s="42"/>
      <c r="K84" s="42"/>
      <c r="L84" s="7"/>
      <c r="M84" s="7"/>
      <c r="N84" s="42">
        <f>H84+L84+M84</f>
        <v>0</v>
      </c>
      <c r="O84" s="518" t="s">
        <v>158</v>
      </c>
      <c r="P84" s="515" t="s">
        <v>62</v>
      </c>
      <c r="Q84" s="512">
        <v>0</v>
      </c>
      <c r="R84" s="509">
        <v>41</v>
      </c>
      <c r="S84" s="384">
        <v>41</v>
      </c>
      <c r="T84" s="401" t="s">
        <v>138</v>
      </c>
    </row>
    <row r="85" spans="1:20" ht="17.25" customHeight="1" x14ac:dyDescent="0.2">
      <c r="A85" s="447"/>
      <c r="B85" s="448"/>
      <c r="C85" s="508"/>
      <c r="D85" s="522"/>
      <c r="E85" s="429"/>
      <c r="F85" s="457"/>
      <c r="G85" s="41" t="s">
        <v>40</v>
      </c>
      <c r="H85" s="42">
        <v>0</v>
      </c>
      <c r="I85" s="42"/>
      <c r="J85" s="42"/>
      <c r="K85" s="42"/>
      <c r="L85" s="7">
        <f>H85*1.05</f>
        <v>0</v>
      </c>
      <c r="M85" s="7">
        <f>L85*1.05</f>
        <v>0</v>
      </c>
      <c r="N85" s="42">
        <f>H85+L85+M85</f>
        <v>0</v>
      </c>
      <c r="O85" s="519"/>
      <c r="P85" s="516"/>
      <c r="Q85" s="513"/>
      <c r="R85" s="510"/>
      <c r="S85" s="417"/>
      <c r="T85" s="431"/>
    </row>
    <row r="86" spans="1:20" ht="17.25" customHeight="1" x14ac:dyDescent="0.2">
      <c r="A86" s="447"/>
      <c r="B86" s="448"/>
      <c r="C86" s="508"/>
      <c r="D86" s="522"/>
      <c r="E86" s="429"/>
      <c r="F86" s="457"/>
      <c r="G86" s="41" t="s">
        <v>149</v>
      </c>
      <c r="H86" s="42">
        <v>0</v>
      </c>
      <c r="I86" s="42"/>
      <c r="J86" s="42"/>
      <c r="K86" s="42"/>
      <c r="L86" s="7"/>
      <c r="M86" s="7"/>
      <c r="N86" s="42">
        <f>H86+L86+M86</f>
        <v>0</v>
      </c>
      <c r="O86" s="519"/>
      <c r="P86" s="516"/>
      <c r="Q86" s="513"/>
      <c r="R86" s="510"/>
      <c r="S86" s="417"/>
      <c r="T86" s="431"/>
    </row>
    <row r="87" spans="1:20" ht="17.25" customHeight="1" x14ac:dyDescent="0.2">
      <c r="A87" s="405"/>
      <c r="B87" s="407"/>
      <c r="C87" s="504"/>
      <c r="D87" s="523"/>
      <c r="E87" s="400"/>
      <c r="F87" s="398"/>
      <c r="G87" s="44" t="s">
        <v>23</v>
      </c>
      <c r="H87" s="45">
        <f>H84+H85+H86</f>
        <v>0</v>
      </c>
      <c r="I87" s="45">
        <f t="shared" ref="I87:M87" si="48">I84+I85+I86</f>
        <v>0</v>
      </c>
      <c r="J87" s="45">
        <f t="shared" si="48"/>
        <v>0</v>
      </c>
      <c r="K87" s="45">
        <f t="shared" si="48"/>
        <v>0</v>
      </c>
      <c r="L87" s="45">
        <f t="shared" si="48"/>
        <v>0</v>
      </c>
      <c r="M87" s="45">
        <f t="shared" si="48"/>
        <v>0</v>
      </c>
      <c r="N87" s="45">
        <f t="shared" ref="N87" si="49">+N84+N86+N85</f>
        <v>0</v>
      </c>
      <c r="O87" s="520"/>
      <c r="P87" s="517"/>
      <c r="Q87" s="514"/>
      <c r="R87" s="511"/>
      <c r="S87" s="386"/>
      <c r="T87" s="402"/>
    </row>
    <row r="88" spans="1:20" ht="17.25" customHeight="1" x14ac:dyDescent="0.2">
      <c r="A88" s="27" t="s">
        <v>50</v>
      </c>
      <c r="B88" s="32" t="s">
        <v>50</v>
      </c>
      <c r="C88" s="36" t="s">
        <v>159</v>
      </c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78"/>
      <c r="P88" s="37"/>
      <c r="Q88" s="376"/>
      <c r="R88" s="37"/>
      <c r="S88" s="37"/>
      <c r="T88" s="38"/>
    </row>
    <row r="89" spans="1:20" ht="12.75" x14ac:dyDescent="0.2">
      <c r="A89" s="404" t="s">
        <v>50</v>
      </c>
      <c r="B89" s="406" t="s">
        <v>50</v>
      </c>
      <c r="C89" s="410" t="s">
        <v>50</v>
      </c>
      <c r="D89" s="413" t="s">
        <v>160</v>
      </c>
      <c r="E89" s="399" t="s">
        <v>36</v>
      </c>
      <c r="F89" s="397">
        <v>188718713</v>
      </c>
      <c r="G89" s="33" t="s">
        <v>40</v>
      </c>
      <c r="H89" s="4"/>
      <c r="I89" s="4"/>
      <c r="J89" s="4"/>
      <c r="K89" s="4"/>
      <c r="L89" s="7"/>
      <c r="M89" s="7"/>
      <c r="N89" s="2">
        <f>H89+L89+M89</f>
        <v>0</v>
      </c>
      <c r="O89" s="382" t="s">
        <v>161</v>
      </c>
      <c r="P89" s="505" t="s">
        <v>73</v>
      </c>
      <c r="Q89" s="505">
        <v>50</v>
      </c>
      <c r="R89" s="505">
        <v>50</v>
      </c>
      <c r="S89" s="505">
        <v>50</v>
      </c>
      <c r="T89" s="401" t="s">
        <v>162</v>
      </c>
    </row>
    <row r="90" spans="1:20" ht="12.75" x14ac:dyDescent="0.2">
      <c r="A90" s="447"/>
      <c r="B90" s="448"/>
      <c r="C90" s="449"/>
      <c r="D90" s="450"/>
      <c r="E90" s="429"/>
      <c r="F90" s="457"/>
      <c r="G90" s="33" t="s">
        <v>95</v>
      </c>
      <c r="H90" s="4"/>
      <c r="I90" s="4"/>
      <c r="J90" s="4"/>
      <c r="K90" s="4"/>
      <c r="L90" s="7"/>
      <c r="M90" s="7"/>
      <c r="N90" s="2">
        <f>H90+L90+M90</f>
        <v>0</v>
      </c>
      <c r="O90" s="499"/>
      <c r="P90" s="506"/>
      <c r="Q90" s="506"/>
      <c r="R90" s="506"/>
      <c r="S90" s="506"/>
      <c r="T90" s="431"/>
    </row>
    <row r="91" spans="1:20" ht="12.75" x14ac:dyDescent="0.2">
      <c r="A91" s="405"/>
      <c r="B91" s="407"/>
      <c r="C91" s="411"/>
      <c r="D91" s="414"/>
      <c r="E91" s="400"/>
      <c r="F91" s="398"/>
      <c r="G91" s="34" t="s">
        <v>23</v>
      </c>
      <c r="H91" s="4">
        <f>H89+H90</f>
        <v>0</v>
      </c>
      <c r="I91" s="4">
        <f t="shared" ref="I91:M91" si="50">I89+I90</f>
        <v>0</v>
      </c>
      <c r="J91" s="4">
        <f t="shared" si="50"/>
        <v>0</v>
      </c>
      <c r="K91" s="4">
        <f t="shared" si="50"/>
        <v>0</v>
      </c>
      <c r="L91" s="4">
        <f t="shared" si="50"/>
        <v>0</v>
      </c>
      <c r="M91" s="4">
        <f t="shared" si="50"/>
        <v>0</v>
      </c>
      <c r="N91" s="4">
        <f t="shared" ref="N91" si="51">+N89+N90</f>
        <v>0</v>
      </c>
      <c r="O91" s="387"/>
      <c r="P91" s="507"/>
      <c r="Q91" s="507"/>
      <c r="R91" s="507"/>
      <c r="S91" s="507"/>
      <c r="T91" s="402"/>
    </row>
    <row r="92" spans="1:20" x14ac:dyDescent="0.2">
      <c r="A92" s="27" t="s">
        <v>55</v>
      </c>
      <c r="B92" s="28" t="s">
        <v>163</v>
      </c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73"/>
      <c r="P92" s="29"/>
      <c r="Q92" s="29"/>
      <c r="R92" s="29"/>
      <c r="S92" s="29"/>
      <c r="T92" s="35"/>
    </row>
    <row r="93" spans="1:20" ht="17.25" customHeight="1" x14ac:dyDescent="0.2">
      <c r="A93" s="27" t="s">
        <v>55</v>
      </c>
      <c r="B93" s="32" t="s">
        <v>36</v>
      </c>
      <c r="C93" s="36" t="s">
        <v>164</v>
      </c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78"/>
      <c r="P93" s="37"/>
      <c r="Q93" s="37"/>
      <c r="R93" s="37"/>
      <c r="S93" s="37"/>
      <c r="T93" s="38"/>
    </row>
    <row r="94" spans="1:20" ht="12.75" x14ac:dyDescent="0.2">
      <c r="A94" s="404" t="s">
        <v>55</v>
      </c>
      <c r="B94" s="406" t="s">
        <v>36</v>
      </c>
      <c r="C94" s="410" t="s">
        <v>46</v>
      </c>
      <c r="D94" s="413" t="s">
        <v>165</v>
      </c>
      <c r="E94" s="399" t="s">
        <v>36</v>
      </c>
      <c r="F94" s="397">
        <v>188718713</v>
      </c>
      <c r="G94" s="33" t="s">
        <v>40</v>
      </c>
      <c r="H94" s="4"/>
      <c r="I94" s="4"/>
      <c r="J94" s="4"/>
      <c r="K94" s="4"/>
      <c r="L94" s="7"/>
      <c r="M94" s="7"/>
      <c r="N94" s="2">
        <f>H94+L94+M94</f>
        <v>0</v>
      </c>
      <c r="O94" s="382" t="s">
        <v>166</v>
      </c>
      <c r="P94" s="384" t="s">
        <v>62</v>
      </c>
      <c r="Q94" s="384">
        <v>235</v>
      </c>
      <c r="R94" s="384">
        <v>235</v>
      </c>
      <c r="S94" s="384">
        <v>235</v>
      </c>
      <c r="T94" s="401" t="s">
        <v>167</v>
      </c>
    </row>
    <row r="95" spans="1:20" ht="12.95" customHeight="1" x14ac:dyDescent="0.2">
      <c r="A95" s="447"/>
      <c r="B95" s="448"/>
      <c r="C95" s="449"/>
      <c r="D95" s="450"/>
      <c r="E95" s="429"/>
      <c r="F95" s="457"/>
      <c r="G95" s="33"/>
      <c r="H95" s="4"/>
      <c r="I95" s="4"/>
      <c r="J95" s="4"/>
      <c r="K95" s="4"/>
      <c r="L95" s="7"/>
      <c r="M95" s="7"/>
      <c r="N95" s="2"/>
      <c r="O95" s="387"/>
      <c r="P95" s="386"/>
      <c r="Q95" s="386"/>
      <c r="R95" s="386"/>
      <c r="S95" s="386"/>
      <c r="T95" s="431"/>
    </row>
    <row r="96" spans="1:20" ht="12.75" x14ac:dyDescent="0.2">
      <c r="A96" s="447"/>
      <c r="B96" s="448"/>
      <c r="C96" s="449"/>
      <c r="D96" s="450"/>
      <c r="E96" s="429"/>
      <c r="F96" s="457"/>
      <c r="G96" s="33"/>
      <c r="H96" s="4"/>
      <c r="I96" s="4"/>
      <c r="J96" s="4"/>
      <c r="K96" s="4"/>
      <c r="L96" s="7"/>
      <c r="M96" s="7"/>
      <c r="N96" s="2"/>
      <c r="O96" s="382" t="s">
        <v>168</v>
      </c>
      <c r="P96" s="384" t="s">
        <v>62</v>
      </c>
      <c r="Q96" s="384">
        <v>25</v>
      </c>
      <c r="R96" s="384">
        <v>25</v>
      </c>
      <c r="S96" s="384">
        <v>25</v>
      </c>
      <c r="T96" s="431"/>
    </row>
    <row r="97" spans="1:20" ht="12.75" x14ac:dyDescent="0.2">
      <c r="A97" s="405"/>
      <c r="B97" s="407"/>
      <c r="C97" s="411"/>
      <c r="D97" s="414"/>
      <c r="E97" s="400"/>
      <c r="F97" s="398"/>
      <c r="G97" s="34" t="s">
        <v>23</v>
      </c>
      <c r="H97" s="4">
        <f>H94</f>
        <v>0</v>
      </c>
      <c r="I97" s="4">
        <f t="shared" ref="I97:M97" si="52">I94</f>
        <v>0</v>
      </c>
      <c r="J97" s="4">
        <f t="shared" si="52"/>
        <v>0</v>
      </c>
      <c r="K97" s="4">
        <f t="shared" si="52"/>
        <v>0</v>
      </c>
      <c r="L97" s="4">
        <f t="shared" si="52"/>
        <v>0</v>
      </c>
      <c r="M97" s="4">
        <f t="shared" si="52"/>
        <v>0</v>
      </c>
      <c r="N97" s="4">
        <f>+N94</f>
        <v>0</v>
      </c>
      <c r="O97" s="387"/>
      <c r="P97" s="386"/>
      <c r="Q97" s="386"/>
      <c r="R97" s="386"/>
      <c r="S97" s="386"/>
      <c r="T97" s="402"/>
    </row>
    <row r="98" spans="1:20" ht="14.25" customHeight="1" x14ac:dyDescent="0.2">
      <c r="A98" s="27" t="s">
        <v>169</v>
      </c>
      <c r="B98" s="28" t="s">
        <v>170</v>
      </c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73"/>
      <c r="P98" s="29"/>
      <c r="Q98" s="29"/>
      <c r="R98" s="29"/>
      <c r="S98" s="29"/>
      <c r="T98" s="35"/>
    </row>
    <row r="99" spans="1:20" ht="14.25" customHeight="1" x14ac:dyDescent="0.2">
      <c r="A99" s="27" t="s">
        <v>169</v>
      </c>
      <c r="B99" s="32" t="s">
        <v>36</v>
      </c>
      <c r="C99" s="36" t="s">
        <v>171</v>
      </c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78"/>
      <c r="P99" s="37"/>
      <c r="Q99" s="37"/>
      <c r="R99" s="37"/>
      <c r="S99" s="37"/>
      <c r="T99" s="38"/>
    </row>
    <row r="100" spans="1:20" ht="25.5" x14ac:dyDescent="0.2">
      <c r="A100" s="456" t="s">
        <v>169</v>
      </c>
      <c r="B100" s="443" t="s">
        <v>36</v>
      </c>
      <c r="C100" s="444" t="s">
        <v>36</v>
      </c>
      <c r="D100" s="445" t="s">
        <v>172</v>
      </c>
      <c r="E100" s="421" t="s">
        <v>36</v>
      </c>
      <c r="F100" s="397">
        <v>188718713</v>
      </c>
      <c r="G100" s="33" t="s">
        <v>40</v>
      </c>
      <c r="H100" s="7"/>
      <c r="I100" s="7"/>
      <c r="J100" s="7"/>
      <c r="K100" s="7"/>
      <c r="L100" s="7"/>
      <c r="M100" s="7"/>
      <c r="N100" s="7">
        <f>H100+L100+M100</f>
        <v>0</v>
      </c>
      <c r="O100" s="74" t="s">
        <v>173</v>
      </c>
      <c r="P100" s="88" t="s">
        <v>62</v>
      </c>
      <c r="Q100" s="88">
        <v>25</v>
      </c>
      <c r="R100" s="88">
        <v>30</v>
      </c>
      <c r="S100" s="88">
        <v>30</v>
      </c>
      <c r="T100" s="401" t="s">
        <v>78</v>
      </c>
    </row>
    <row r="101" spans="1:20" ht="25.5" x14ac:dyDescent="0.2">
      <c r="A101" s="404"/>
      <c r="B101" s="406"/>
      <c r="C101" s="410"/>
      <c r="D101" s="446"/>
      <c r="E101" s="399"/>
      <c r="F101" s="457"/>
      <c r="G101" s="46" t="s">
        <v>23</v>
      </c>
      <c r="H101" s="11">
        <f t="shared" ref="H101:M101" si="53">H100</f>
        <v>0</v>
      </c>
      <c r="I101" s="11">
        <f t="shared" si="53"/>
        <v>0</v>
      </c>
      <c r="J101" s="11">
        <f t="shared" si="53"/>
        <v>0</v>
      </c>
      <c r="K101" s="11">
        <f t="shared" si="53"/>
        <v>0</v>
      </c>
      <c r="L101" s="11">
        <f t="shared" si="53"/>
        <v>0</v>
      </c>
      <c r="M101" s="11">
        <f t="shared" si="53"/>
        <v>0</v>
      </c>
      <c r="N101" s="11">
        <f>H101+L101+M101</f>
        <v>0</v>
      </c>
      <c r="O101" s="74" t="s">
        <v>174</v>
      </c>
      <c r="P101" s="88" t="s">
        <v>62</v>
      </c>
      <c r="Q101" s="88">
        <v>400</v>
      </c>
      <c r="R101" s="88">
        <v>450</v>
      </c>
      <c r="S101" s="88">
        <v>450</v>
      </c>
      <c r="T101" s="431"/>
    </row>
    <row r="102" spans="1:20" ht="12.75" customHeight="1" x14ac:dyDescent="0.2">
      <c r="A102" s="456" t="s">
        <v>169</v>
      </c>
      <c r="B102" s="443" t="s">
        <v>36</v>
      </c>
      <c r="C102" s="444" t="s">
        <v>50</v>
      </c>
      <c r="D102" s="451" t="s">
        <v>175</v>
      </c>
      <c r="E102" s="421" t="s">
        <v>36</v>
      </c>
      <c r="F102" s="397">
        <v>188718713</v>
      </c>
      <c r="G102" s="33" t="s">
        <v>40</v>
      </c>
      <c r="H102" s="7">
        <v>15.7</v>
      </c>
      <c r="I102" s="7"/>
      <c r="J102" s="7"/>
      <c r="K102" s="7"/>
      <c r="L102" s="7">
        <f>H102*1.05</f>
        <v>16.484999999999999</v>
      </c>
      <c r="M102" s="7">
        <f>L102*1.05</f>
        <v>17.309249999999999</v>
      </c>
      <c r="N102" s="7">
        <f>H102+L102+M102</f>
        <v>49.494250000000001</v>
      </c>
      <c r="O102" s="382" t="s">
        <v>176</v>
      </c>
      <c r="P102" s="384" t="s">
        <v>62</v>
      </c>
      <c r="Q102" s="384">
        <v>5</v>
      </c>
      <c r="R102" s="384">
        <v>6</v>
      </c>
      <c r="S102" s="384">
        <v>7</v>
      </c>
      <c r="T102" s="401" t="s">
        <v>43</v>
      </c>
    </row>
    <row r="103" spans="1:20" ht="43.5" customHeight="1" x14ac:dyDescent="0.2">
      <c r="A103" s="404"/>
      <c r="B103" s="406"/>
      <c r="C103" s="410"/>
      <c r="D103" s="446"/>
      <c r="E103" s="399"/>
      <c r="F103" s="457"/>
      <c r="G103" s="46" t="s">
        <v>23</v>
      </c>
      <c r="H103" s="11">
        <f>H102</f>
        <v>15.7</v>
      </c>
      <c r="I103" s="11">
        <f t="shared" ref="I103:M103" si="54">I102</f>
        <v>0</v>
      </c>
      <c r="J103" s="11">
        <f t="shared" si="54"/>
        <v>0</v>
      </c>
      <c r="K103" s="11">
        <f t="shared" si="54"/>
        <v>0</v>
      </c>
      <c r="L103" s="11">
        <f t="shared" si="54"/>
        <v>16.484999999999999</v>
      </c>
      <c r="M103" s="11">
        <f t="shared" si="54"/>
        <v>17.309249999999999</v>
      </c>
      <c r="N103" s="11">
        <f>H103+L103+M103</f>
        <v>49.494250000000001</v>
      </c>
      <c r="O103" s="383"/>
      <c r="P103" s="385"/>
      <c r="Q103" s="385"/>
      <c r="R103" s="385"/>
      <c r="S103" s="385"/>
      <c r="T103" s="455"/>
    </row>
    <row r="104" spans="1:20" ht="19.5" customHeight="1" x14ac:dyDescent="0.2">
      <c r="A104" s="472" t="s">
        <v>177</v>
      </c>
      <c r="B104" s="473"/>
      <c r="C104" s="473"/>
      <c r="D104" s="473"/>
      <c r="E104" s="473"/>
      <c r="F104" s="473"/>
      <c r="G104" s="473"/>
      <c r="H104" s="47">
        <f t="shared" ref="H104:N104" si="55">+SUM(H105:H112)</f>
        <v>6493.2999999999993</v>
      </c>
      <c r="I104" s="47" t="e">
        <f t="shared" si="55"/>
        <v>#REF!</v>
      </c>
      <c r="J104" s="47" t="e">
        <f t="shared" si="55"/>
        <v>#REF!</v>
      </c>
      <c r="K104" s="47" t="e">
        <f t="shared" si="55"/>
        <v>#REF!</v>
      </c>
      <c r="L104" s="47">
        <f t="shared" si="55"/>
        <v>6763.7849999999989</v>
      </c>
      <c r="M104" s="47">
        <f t="shared" si="55"/>
        <v>7101.9742500000002</v>
      </c>
      <c r="N104" s="48">
        <f t="shared" si="55"/>
        <v>20346.359250000001</v>
      </c>
      <c r="O104" s="79"/>
      <c r="P104" s="69"/>
      <c r="Q104" s="69"/>
      <c r="R104" s="69"/>
      <c r="S104" s="69"/>
      <c r="T104" s="49"/>
    </row>
    <row r="105" spans="1:20" ht="14.25" customHeight="1" x14ac:dyDescent="0.2">
      <c r="A105" s="433"/>
      <c r="B105" s="434"/>
      <c r="C105" s="434"/>
      <c r="D105" s="434"/>
      <c r="E105" s="434"/>
      <c r="F105" s="435"/>
      <c r="G105" s="50" t="s">
        <v>40</v>
      </c>
      <c r="H105" s="9">
        <f>H8+H10+H12+H16+H20+H22+H24+H26+H28+H30+H35+H40+H45+H48+H51+H57+H63+H65+H68+H71+H78+H80+H82+H85+H94+H89+H100+H102</f>
        <v>6309.2999999999993</v>
      </c>
      <c r="I105" s="9" t="e">
        <f>+I9+I11+I13+I17+I21+I23+I25+I27+I29+I64+I66+I69+I103+I32+I35+I40+I48+I51+I57+I80+I82+I89+I94+I100+I71+#REF!</f>
        <v>#REF!</v>
      </c>
      <c r="J105" s="9" t="e">
        <f>+J9+J11+J13+J17+J21+J23+J25+J27+J29+J64+J66+J69+J103+J32+J35+J40+J48+J51+J57+J80+J82+J89+J94+J100+J71+#REF!</f>
        <v>#REF!</v>
      </c>
      <c r="K105" s="9" t="e">
        <f>+K9+K11+K13+K17+K21+K23+K25+K27+K29+K64+K66+K69+K103+K32+K35+K40+K48+K51+K57+K80+K82+K89+K94+K100+K71+#REF!</f>
        <v>#REF!</v>
      </c>
      <c r="L105" s="9">
        <f>+L9+L11+L13+L17+L21+L23+L25+L27+L29+L64+L66+L69+L103+L32+L35+L40+L48+L51+L57+L80+L82+L89+L94+L100+L71</f>
        <v>6611.4299999999994</v>
      </c>
      <c r="M105" s="9">
        <f>+M9+M11+M13+M17+M21+M23+M25+M27+M29+M64+M66+M69+M103+M32+M35+M40+M48+M51+M57+M80+M82+M89+M94+M100+M71</f>
        <v>6942.0015000000003</v>
      </c>
      <c r="N105" s="9">
        <f>+N9+N11+N13+N17+N21+N23+N25+N27+N29+N64+N66+N69+N103+N32+N35+N40+N48+N51+N57+N80+N82+N89+N94+N100+N71</f>
        <v>19850.031500000001</v>
      </c>
      <c r="O105" s="76"/>
      <c r="P105" s="9"/>
      <c r="Q105" s="9"/>
      <c r="R105" s="9"/>
      <c r="S105" s="9"/>
      <c r="T105" s="51"/>
    </row>
    <row r="106" spans="1:20" ht="14.25" customHeight="1" x14ac:dyDescent="0.2">
      <c r="A106" s="436"/>
      <c r="B106" s="437"/>
      <c r="C106" s="437"/>
      <c r="D106" s="437"/>
      <c r="E106" s="437"/>
      <c r="F106" s="438"/>
      <c r="G106" s="34" t="s">
        <v>53</v>
      </c>
      <c r="H106" s="8">
        <f t="shared" ref="H106:N106" si="56">+H19+H15</f>
        <v>40</v>
      </c>
      <c r="I106" s="8">
        <f t="shared" si="56"/>
        <v>0</v>
      </c>
      <c r="J106" s="8">
        <f t="shared" si="56"/>
        <v>0</v>
      </c>
      <c r="K106" s="8">
        <f t="shared" si="56"/>
        <v>0</v>
      </c>
      <c r="L106" s="8">
        <f t="shared" si="56"/>
        <v>42</v>
      </c>
      <c r="M106" s="8">
        <f t="shared" si="56"/>
        <v>44.1</v>
      </c>
      <c r="N106" s="8">
        <f t="shared" si="56"/>
        <v>126.1</v>
      </c>
      <c r="O106" s="80"/>
      <c r="P106" s="12"/>
      <c r="Q106" s="12"/>
      <c r="R106" s="12"/>
      <c r="S106" s="12"/>
      <c r="T106" s="52"/>
    </row>
    <row r="107" spans="1:20" ht="14.25" customHeight="1" x14ac:dyDescent="0.2">
      <c r="A107" s="436"/>
      <c r="B107" s="437"/>
      <c r="C107" s="437"/>
      <c r="D107" s="437"/>
      <c r="E107" s="437"/>
      <c r="F107" s="438"/>
      <c r="G107" s="34" t="s">
        <v>95</v>
      </c>
      <c r="H107" s="8">
        <f>+H34+H37+H39+H42+H44+H47+H50+H53+H55+H59+H90</f>
        <v>105.1</v>
      </c>
      <c r="I107" s="8">
        <f t="shared" ref="I107:N107" si="57">+I34+I37+I39+I42+I44+I47+I50+I53+I55+I59+I90</f>
        <v>0</v>
      </c>
      <c r="J107" s="8">
        <f t="shared" si="57"/>
        <v>0</v>
      </c>
      <c r="K107" s="8">
        <f t="shared" si="57"/>
        <v>0</v>
      </c>
      <c r="L107" s="8">
        <f t="shared" si="57"/>
        <v>110.355</v>
      </c>
      <c r="M107" s="8">
        <f t="shared" si="57"/>
        <v>115.87274999999998</v>
      </c>
      <c r="N107" s="8">
        <f t="shared" si="57"/>
        <v>331.32775000000004</v>
      </c>
      <c r="O107" s="77"/>
      <c r="P107" s="8"/>
      <c r="Q107" s="8"/>
      <c r="R107" s="8"/>
      <c r="S107" s="8"/>
      <c r="T107" s="52"/>
    </row>
    <row r="108" spans="1:20" ht="14.25" customHeight="1" x14ac:dyDescent="0.2">
      <c r="A108" s="436"/>
      <c r="B108" s="437"/>
      <c r="C108" s="437"/>
      <c r="D108" s="437"/>
      <c r="E108" s="437"/>
      <c r="F108" s="438"/>
      <c r="G108" s="34" t="s">
        <v>178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81"/>
      <c r="P108" s="4"/>
      <c r="Q108" s="4"/>
      <c r="R108" s="4"/>
      <c r="S108" s="4"/>
      <c r="T108" s="52"/>
    </row>
    <row r="109" spans="1:20" ht="14.25" customHeight="1" x14ac:dyDescent="0.2">
      <c r="A109" s="436"/>
      <c r="B109" s="437"/>
      <c r="C109" s="437"/>
      <c r="D109" s="437"/>
      <c r="E109" s="437"/>
      <c r="F109" s="438"/>
      <c r="G109" s="34" t="s">
        <v>179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81"/>
      <c r="P109" s="4"/>
      <c r="Q109" s="4"/>
      <c r="R109" s="4"/>
      <c r="S109" s="4"/>
      <c r="T109" s="52"/>
    </row>
    <row r="110" spans="1:20" ht="14.25" customHeight="1" x14ac:dyDescent="0.2">
      <c r="A110" s="436"/>
      <c r="B110" s="437"/>
      <c r="C110" s="437"/>
      <c r="D110" s="437"/>
      <c r="E110" s="437"/>
      <c r="F110" s="438"/>
      <c r="G110" s="34" t="s">
        <v>144</v>
      </c>
      <c r="H110" s="4">
        <f t="shared" ref="H110:N110" si="58">+H72</f>
        <v>0</v>
      </c>
      <c r="I110" s="4">
        <f t="shared" si="58"/>
        <v>0</v>
      </c>
      <c r="J110" s="4">
        <f t="shared" si="58"/>
        <v>0</v>
      </c>
      <c r="K110" s="4">
        <f t="shared" si="58"/>
        <v>0</v>
      </c>
      <c r="L110" s="4">
        <f t="shared" si="58"/>
        <v>0</v>
      </c>
      <c r="M110" s="4">
        <f t="shared" si="58"/>
        <v>0</v>
      </c>
      <c r="N110" s="4">
        <f t="shared" si="58"/>
        <v>0</v>
      </c>
      <c r="O110" s="81"/>
      <c r="P110" s="4"/>
      <c r="Q110" s="4"/>
      <c r="R110" s="4"/>
      <c r="S110" s="4"/>
      <c r="T110" s="52"/>
    </row>
    <row r="111" spans="1:20" ht="14.25" customHeight="1" x14ac:dyDescent="0.2">
      <c r="A111" s="436"/>
      <c r="B111" s="437"/>
      <c r="C111" s="437"/>
      <c r="D111" s="437"/>
      <c r="E111" s="437"/>
      <c r="F111" s="438"/>
      <c r="G111" s="34" t="s">
        <v>141</v>
      </c>
      <c r="H111" s="4">
        <f t="shared" ref="H111:N111" si="59">+H76+H70</f>
        <v>38.9</v>
      </c>
      <c r="I111" s="4">
        <f t="shared" si="59"/>
        <v>0</v>
      </c>
      <c r="J111" s="4">
        <f t="shared" si="59"/>
        <v>0</v>
      </c>
      <c r="K111" s="4">
        <f t="shared" si="59"/>
        <v>0</v>
      </c>
      <c r="L111" s="4">
        <f t="shared" si="59"/>
        <v>0</v>
      </c>
      <c r="M111" s="4">
        <f t="shared" si="59"/>
        <v>0</v>
      </c>
      <c r="N111" s="4">
        <f t="shared" si="59"/>
        <v>38.9</v>
      </c>
      <c r="O111" s="81"/>
      <c r="P111" s="4"/>
      <c r="Q111" s="4"/>
      <c r="R111" s="4"/>
      <c r="S111" s="4"/>
      <c r="T111" s="52"/>
    </row>
    <row r="112" spans="1:20" ht="14.25" customHeight="1" x14ac:dyDescent="0.2">
      <c r="A112" s="439"/>
      <c r="B112" s="440"/>
      <c r="C112" s="440"/>
      <c r="D112" s="440"/>
      <c r="E112" s="440"/>
      <c r="F112" s="441"/>
      <c r="G112" s="53" t="s">
        <v>149</v>
      </c>
      <c r="H112" s="4">
        <f>+H77+H86</f>
        <v>0</v>
      </c>
      <c r="I112" s="4">
        <f t="shared" ref="I112:N112" si="60">+I77</f>
        <v>0</v>
      </c>
      <c r="J112" s="4">
        <f t="shared" si="60"/>
        <v>0</v>
      </c>
      <c r="K112" s="4">
        <f t="shared" si="60"/>
        <v>0</v>
      </c>
      <c r="L112" s="4">
        <f t="shared" si="60"/>
        <v>0</v>
      </c>
      <c r="M112" s="4">
        <f t="shared" si="60"/>
        <v>0</v>
      </c>
      <c r="N112" s="4">
        <f t="shared" si="60"/>
        <v>0</v>
      </c>
      <c r="O112" s="81"/>
      <c r="P112" s="4"/>
      <c r="Q112" s="4"/>
      <c r="R112" s="4"/>
      <c r="S112" s="4"/>
      <c r="T112" s="52"/>
    </row>
    <row r="113" spans="3:4" ht="14.25" customHeight="1" x14ac:dyDescent="0.2"/>
    <row r="114" spans="3:4" ht="14.25" customHeight="1" x14ac:dyDescent="0.2">
      <c r="C114" s="89"/>
      <c r="D114" s="55" t="s">
        <v>180</v>
      </c>
    </row>
    <row r="115" spans="3:4" ht="14.25" customHeight="1" x14ac:dyDescent="0.2"/>
    <row r="116" spans="3:4" ht="14.25" customHeight="1" x14ac:dyDescent="0.2"/>
    <row r="117" spans="3:4" ht="14.25" customHeight="1" x14ac:dyDescent="0.2"/>
    <row r="118" spans="3:4" ht="14.25" customHeight="1" x14ac:dyDescent="0.2"/>
    <row r="119" spans="3:4" ht="14.25" customHeight="1" x14ac:dyDescent="0.2"/>
    <row r="120" spans="3:4" ht="14.25" customHeight="1" x14ac:dyDescent="0.2"/>
    <row r="121" spans="3:4" ht="14.25" customHeight="1" x14ac:dyDescent="0.2"/>
    <row r="122" spans="3:4" ht="14.25" customHeight="1" x14ac:dyDescent="0.2"/>
    <row r="123" spans="3:4" ht="14.25" customHeight="1" x14ac:dyDescent="0.2"/>
    <row r="124" spans="3:4" ht="14.25" customHeight="1" x14ac:dyDescent="0.2"/>
    <row r="125" spans="3:4" ht="14.25" customHeight="1" x14ac:dyDescent="0.2"/>
    <row r="126" spans="3:4" ht="14.25" customHeight="1" x14ac:dyDescent="0.2"/>
    <row r="127" spans="3:4" ht="14.25" customHeight="1" x14ac:dyDescent="0.2"/>
    <row r="128" spans="3:4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</sheetData>
  <sheetProtection insertRows="0" selectLockedCells="1"/>
  <autoFilter ref="A2:T103" xr:uid="{00000000-0009-0000-0000-000000000000}">
    <filterColumn colId="7" showButton="0"/>
    <filterColumn colId="8" showButton="0"/>
    <filterColumn colId="9" showButton="0"/>
  </autoFilter>
  <mergeCells count="393">
    <mergeCell ref="T84:T87"/>
    <mergeCell ref="S84:S87"/>
    <mergeCell ref="R84:R87"/>
    <mergeCell ref="Q84:Q87"/>
    <mergeCell ref="P84:P87"/>
    <mergeCell ref="O84:O87"/>
    <mergeCell ref="B84:B87"/>
    <mergeCell ref="A84:A87"/>
    <mergeCell ref="F84:F87"/>
    <mergeCell ref="E84:E87"/>
    <mergeCell ref="D84:D87"/>
    <mergeCell ref="T82:T83"/>
    <mergeCell ref="A80:A81"/>
    <mergeCell ref="B80:B81"/>
    <mergeCell ref="C80:C81"/>
    <mergeCell ref="D80:D81"/>
    <mergeCell ref="E80:E81"/>
    <mergeCell ref="F80:F81"/>
    <mergeCell ref="A89:A91"/>
    <mergeCell ref="B89:B91"/>
    <mergeCell ref="C89:C91"/>
    <mergeCell ref="D89:D91"/>
    <mergeCell ref="E89:E91"/>
    <mergeCell ref="F89:F91"/>
    <mergeCell ref="T89:T91"/>
    <mergeCell ref="O89:O91"/>
    <mergeCell ref="P89:P91"/>
    <mergeCell ref="Q89:Q91"/>
    <mergeCell ref="R89:R91"/>
    <mergeCell ref="S89:S91"/>
    <mergeCell ref="T80:T81"/>
    <mergeCell ref="O82:O83"/>
    <mergeCell ref="P82:P83"/>
    <mergeCell ref="Q82:Q83"/>
    <mergeCell ref="C84:C87"/>
    <mergeCell ref="R53:R54"/>
    <mergeCell ref="S53:S54"/>
    <mergeCell ref="A102:A103"/>
    <mergeCell ref="B102:B103"/>
    <mergeCell ref="C102:C103"/>
    <mergeCell ref="E102:E103"/>
    <mergeCell ref="O96:O97"/>
    <mergeCell ref="P96:P97"/>
    <mergeCell ref="Q96:Q97"/>
    <mergeCell ref="R96:R97"/>
    <mergeCell ref="A82:A83"/>
    <mergeCell ref="B82:B83"/>
    <mergeCell ref="C82:C83"/>
    <mergeCell ref="D82:D83"/>
    <mergeCell ref="E82:E83"/>
    <mergeCell ref="F82:F83"/>
    <mergeCell ref="S96:S97"/>
    <mergeCell ref="O76:O79"/>
    <mergeCell ref="P76:P79"/>
    <mergeCell ref="Q76:Q79"/>
    <mergeCell ref="R76:R79"/>
    <mergeCell ref="S76:S79"/>
    <mergeCell ref="O94:O95"/>
    <mergeCell ref="P94:P95"/>
    <mergeCell ref="O47:O49"/>
    <mergeCell ref="P47:P49"/>
    <mergeCell ref="Q47:Q49"/>
    <mergeCell ref="R47:R49"/>
    <mergeCell ref="S47:S49"/>
    <mergeCell ref="O70:O73"/>
    <mergeCell ref="O50:O52"/>
    <mergeCell ref="P50:P52"/>
    <mergeCell ref="Q50:Q52"/>
    <mergeCell ref="R50:R52"/>
    <mergeCell ref="S50:S52"/>
    <mergeCell ref="O63:O64"/>
    <mergeCell ref="P63:P64"/>
    <mergeCell ref="Q63:Q64"/>
    <mergeCell ref="R63:R64"/>
    <mergeCell ref="S63:S64"/>
    <mergeCell ref="O57:O58"/>
    <mergeCell ref="P57:P58"/>
    <mergeCell ref="Q57:Q58"/>
    <mergeCell ref="R57:R58"/>
    <mergeCell ref="S57:S58"/>
    <mergeCell ref="O53:O54"/>
    <mergeCell ref="P53:P54"/>
    <mergeCell ref="Q53:Q54"/>
    <mergeCell ref="T12:T15"/>
    <mergeCell ref="T8:T9"/>
    <mergeCell ref="T10:T11"/>
    <mergeCell ref="O34:O36"/>
    <mergeCell ref="P34:P36"/>
    <mergeCell ref="Q34:Q36"/>
    <mergeCell ref="R34:R36"/>
    <mergeCell ref="S34:S36"/>
    <mergeCell ref="T37:T38"/>
    <mergeCell ref="T26:T27"/>
    <mergeCell ref="T30:T32"/>
    <mergeCell ref="T28:T29"/>
    <mergeCell ref="T34:T36"/>
    <mergeCell ref="O22:O23"/>
    <mergeCell ref="P22:P23"/>
    <mergeCell ref="Q22:Q23"/>
    <mergeCell ref="R22:R23"/>
    <mergeCell ref="S22:S23"/>
    <mergeCell ref="O26:O27"/>
    <mergeCell ref="P26:P27"/>
    <mergeCell ref="O37:O38"/>
    <mergeCell ref="Q26:Q27"/>
    <mergeCell ref="R26:R27"/>
    <mergeCell ref="S26:S27"/>
    <mergeCell ref="C18:C19"/>
    <mergeCell ref="O12:O13"/>
    <mergeCell ref="O14:O15"/>
    <mergeCell ref="P12:P13"/>
    <mergeCell ref="Q12:Q13"/>
    <mergeCell ref="R12:R13"/>
    <mergeCell ref="S12:S13"/>
    <mergeCell ref="P14:P15"/>
    <mergeCell ref="Q14:Q15"/>
    <mergeCell ref="R14:R15"/>
    <mergeCell ref="S14:S15"/>
    <mergeCell ref="A44:A46"/>
    <mergeCell ref="D24:D25"/>
    <mergeCell ref="T16:T17"/>
    <mergeCell ref="T18:T19"/>
    <mergeCell ref="C20:C21"/>
    <mergeCell ref="A12:A15"/>
    <mergeCell ref="B12:B15"/>
    <mergeCell ref="C12:C15"/>
    <mergeCell ref="D12:D15"/>
    <mergeCell ref="E12:E15"/>
    <mergeCell ref="F12:F15"/>
    <mergeCell ref="D22:D23"/>
    <mergeCell ref="C24:C25"/>
    <mergeCell ref="E16:E17"/>
    <mergeCell ref="E22:E23"/>
    <mergeCell ref="F24:F25"/>
    <mergeCell ref="T24:T25"/>
    <mergeCell ref="T22:T23"/>
    <mergeCell ref="D18:D19"/>
    <mergeCell ref="D20:D21"/>
    <mergeCell ref="E20:E21"/>
    <mergeCell ref="D16:D17"/>
    <mergeCell ref="T20:T21"/>
    <mergeCell ref="C16:C17"/>
    <mergeCell ref="A42:A43"/>
    <mergeCell ref="D39:D41"/>
    <mergeCell ref="D37:D38"/>
    <mergeCell ref="C39:C41"/>
    <mergeCell ref="B30:B32"/>
    <mergeCell ref="C30:C32"/>
    <mergeCell ref="D30:D32"/>
    <mergeCell ref="A65:A66"/>
    <mergeCell ref="F102:F103"/>
    <mergeCell ref="A68:A69"/>
    <mergeCell ref="B68:B69"/>
    <mergeCell ref="D68:D69"/>
    <mergeCell ref="B65:B66"/>
    <mergeCell ref="F100:F101"/>
    <mergeCell ref="A94:A97"/>
    <mergeCell ref="B94:B97"/>
    <mergeCell ref="C94:C97"/>
    <mergeCell ref="D94:D97"/>
    <mergeCell ref="E94:E97"/>
    <mergeCell ref="F94:F97"/>
    <mergeCell ref="F76:F79"/>
    <mergeCell ref="A70:A73"/>
    <mergeCell ref="A50:A52"/>
    <mergeCell ref="B44:B46"/>
    <mergeCell ref="A28:A29"/>
    <mergeCell ref="A26:A27"/>
    <mergeCell ref="B16:B17"/>
    <mergeCell ref="A34:A36"/>
    <mergeCell ref="A37:A38"/>
    <mergeCell ref="A20:A21"/>
    <mergeCell ref="B34:B36"/>
    <mergeCell ref="B24:B25"/>
    <mergeCell ref="A30:A32"/>
    <mergeCell ref="B37:B38"/>
    <mergeCell ref="A16:A17"/>
    <mergeCell ref="A18:A19"/>
    <mergeCell ref="B28:B29"/>
    <mergeCell ref="D26:D27"/>
    <mergeCell ref="D28:D29"/>
    <mergeCell ref="C28:C29"/>
    <mergeCell ref="C26:C27"/>
    <mergeCell ref="D34:D36"/>
    <mergeCell ref="C34:C36"/>
    <mergeCell ref="C37:C38"/>
    <mergeCell ref="C42:C43"/>
    <mergeCell ref="D42:D43"/>
    <mergeCell ref="A2:A4"/>
    <mergeCell ref="B2:B4"/>
    <mergeCell ref="C2:C4"/>
    <mergeCell ref="D2:D4"/>
    <mergeCell ref="A8:A9"/>
    <mergeCell ref="B8:B9"/>
    <mergeCell ref="C8:C9"/>
    <mergeCell ref="D8:D9"/>
    <mergeCell ref="A10:A11"/>
    <mergeCell ref="B10:B11"/>
    <mergeCell ref="D10:D11"/>
    <mergeCell ref="C10:C11"/>
    <mergeCell ref="Q3:S3"/>
    <mergeCell ref="E47:E49"/>
    <mergeCell ref="F53:F54"/>
    <mergeCell ref="H2:K2"/>
    <mergeCell ref="H3:H4"/>
    <mergeCell ref="I3:K3"/>
    <mergeCell ref="F26:F27"/>
    <mergeCell ref="E26:E27"/>
    <mergeCell ref="E34:E36"/>
    <mergeCell ref="E2:E4"/>
    <mergeCell ref="F22:F23"/>
    <mergeCell ref="E28:E29"/>
    <mergeCell ref="F2:F4"/>
    <mergeCell ref="E30:E32"/>
    <mergeCell ref="F30:F32"/>
    <mergeCell ref="E8:E9"/>
    <mergeCell ref="F28:F29"/>
    <mergeCell ref="N2:N4"/>
    <mergeCell ref="F8:F9"/>
    <mergeCell ref="E10:E11"/>
    <mergeCell ref="F10:F11"/>
    <mergeCell ref="E18:E19"/>
    <mergeCell ref="F34:F36"/>
    <mergeCell ref="F42:F43"/>
    <mergeCell ref="G2:G4"/>
    <mergeCell ref="L2:L4"/>
    <mergeCell ref="M2:M4"/>
    <mergeCell ref="T2:T4"/>
    <mergeCell ref="A104:G104"/>
    <mergeCell ref="F20:F21"/>
    <mergeCell ref="F18:F19"/>
    <mergeCell ref="F16:F17"/>
    <mergeCell ref="C22:C23"/>
    <mergeCell ref="E24:E25"/>
    <mergeCell ref="F39:F41"/>
    <mergeCell ref="A39:A41"/>
    <mergeCell ref="B22:B23"/>
    <mergeCell ref="A22:A23"/>
    <mergeCell ref="B26:B27"/>
    <mergeCell ref="B20:B21"/>
    <mergeCell ref="B18:B19"/>
    <mergeCell ref="A24:A25"/>
    <mergeCell ref="B39:B41"/>
    <mergeCell ref="B53:B54"/>
    <mergeCell ref="A47:A49"/>
    <mergeCell ref="A53:A54"/>
    <mergeCell ref="B47:B49"/>
    <mergeCell ref="O2:S2"/>
    <mergeCell ref="A100:A101"/>
    <mergeCell ref="A57:A58"/>
    <mergeCell ref="T47:T49"/>
    <mergeCell ref="E65:E66"/>
    <mergeCell ref="T50:T52"/>
    <mergeCell ref="E42:E43"/>
    <mergeCell ref="T39:T41"/>
    <mergeCell ref="T42:T43"/>
    <mergeCell ref="T44:T46"/>
    <mergeCell ref="E53:E54"/>
    <mergeCell ref="F44:F46"/>
    <mergeCell ref="F55:F56"/>
    <mergeCell ref="T55:T56"/>
    <mergeCell ref="E44:E46"/>
    <mergeCell ref="O40:O41"/>
    <mergeCell ref="P40:P41"/>
    <mergeCell ref="Q40:Q41"/>
    <mergeCell ref="R40:R41"/>
    <mergeCell ref="S40:S41"/>
    <mergeCell ref="T59:T60"/>
    <mergeCell ref="F47:F49"/>
    <mergeCell ref="F50:F52"/>
    <mergeCell ref="B50:B52"/>
    <mergeCell ref="B42:B43"/>
    <mergeCell ref="A105:F112"/>
    <mergeCell ref="T57:T58"/>
    <mergeCell ref="C59:C60"/>
    <mergeCell ref="D59:D60"/>
    <mergeCell ref="T100:T101"/>
    <mergeCell ref="B70:B73"/>
    <mergeCell ref="B100:B101"/>
    <mergeCell ref="C100:C101"/>
    <mergeCell ref="D100:D101"/>
    <mergeCell ref="A76:A79"/>
    <mergeCell ref="B76:B79"/>
    <mergeCell ref="C76:C79"/>
    <mergeCell ref="D76:D79"/>
    <mergeCell ref="E76:E79"/>
    <mergeCell ref="D102:D103"/>
    <mergeCell ref="C68:C69"/>
    <mergeCell ref="C70:C73"/>
    <mergeCell ref="E68:E69"/>
    <mergeCell ref="C67:T67"/>
    <mergeCell ref="C65:C66"/>
    <mergeCell ref="T102:T103"/>
    <mergeCell ref="T63:T64"/>
    <mergeCell ref="T65:T66"/>
    <mergeCell ref="T94:T97"/>
    <mergeCell ref="D47:D49"/>
    <mergeCell ref="E100:E101"/>
    <mergeCell ref="F37:F38"/>
    <mergeCell ref="E55:E56"/>
    <mergeCell ref="D53:D54"/>
    <mergeCell ref="C33:T33"/>
    <mergeCell ref="C44:C46"/>
    <mergeCell ref="D44:D46"/>
    <mergeCell ref="C50:C52"/>
    <mergeCell ref="D50:D52"/>
    <mergeCell ref="T53:T54"/>
    <mergeCell ref="D70:D73"/>
    <mergeCell ref="E50:E52"/>
    <mergeCell ref="E37:E38"/>
    <mergeCell ref="E39:E41"/>
    <mergeCell ref="E63:E64"/>
    <mergeCell ref="E70:E73"/>
    <mergeCell ref="C53:C54"/>
    <mergeCell ref="T76:T79"/>
    <mergeCell ref="F70:F73"/>
    <mergeCell ref="D57:D58"/>
    <mergeCell ref="E57:E58"/>
    <mergeCell ref="C47:C49"/>
    <mergeCell ref="C57:C58"/>
    <mergeCell ref="F57:F58"/>
    <mergeCell ref="F59:F60"/>
    <mergeCell ref="E59:E60"/>
    <mergeCell ref="F65:F66"/>
    <mergeCell ref="T68:T69"/>
    <mergeCell ref="T70:T73"/>
    <mergeCell ref="A55:A56"/>
    <mergeCell ref="B55:B56"/>
    <mergeCell ref="C55:C56"/>
    <mergeCell ref="A63:A64"/>
    <mergeCell ref="B63:B64"/>
    <mergeCell ref="A59:A60"/>
    <mergeCell ref="B59:B60"/>
    <mergeCell ref="C63:C64"/>
    <mergeCell ref="B57:B58"/>
    <mergeCell ref="F63:F64"/>
    <mergeCell ref="F68:F69"/>
    <mergeCell ref="D65:D66"/>
    <mergeCell ref="D63:D64"/>
    <mergeCell ref="D55:D56"/>
    <mergeCell ref="P70:P73"/>
    <mergeCell ref="Q70:Q73"/>
    <mergeCell ref="R70:R73"/>
    <mergeCell ref="S70:S73"/>
    <mergeCell ref="O55:O56"/>
    <mergeCell ref="P55:P56"/>
    <mergeCell ref="Q55:Q56"/>
    <mergeCell ref="R55:R56"/>
    <mergeCell ref="S55:S56"/>
    <mergeCell ref="O59:O60"/>
    <mergeCell ref="P59:P60"/>
    <mergeCell ref="Q59:Q60"/>
    <mergeCell ref="R59:R60"/>
    <mergeCell ref="S59:S60"/>
    <mergeCell ref="O20:O21"/>
    <mergeCell ref="P20:P21"/>
    <mergeCell ref="Q20:Q21"/>
    <mergeCell ref="R20:R21"/>
    <mergeCell ref="S20:S21"/>
    <mergeCell ref="O44:O46"/>
    <mergeCell ref="P44:P46"/>
    <mergeCell ref="Q44:Q46"/>
    <mergeCell ref="R44:R46"/>
    <mergeCell ref="S44:S46"/>
    <mergeCell ref="P37:P38"/>
    <mergeCell ref="Q37:Q38"/>
    <mergeCell ref="R37:R38"/>
    <mergeCell ref="S37:S38"/>
    <mergeCell ref="O42:O43"/>
    <mergeCell ref="P42:P43"/>
    <mergeCell ref="Q42:Q43"/>
    <mergeCell ref="R42:R43"/>
    <mergeCell ref="S42:S43"/>
    <mergeCell ref="O28:O29"/>
    <mergeCell ref="P28:P29"/>
    <mergeCell ref="Q28:Q29"/>
    <mergeCell ref="R28:R29"/>
    <mergeCell ref="S28:S29"/>
    <mergeCell ref="O65:O66"/>
    <mergeCell ref="P65:P66"/>
    <mergeCell ref="Q65:Q66"/>
    <mergeCell ref="R65:R66"/>
    <mergeCell ref="S65:S66"/>
    <mergeCell ref="O102:O103"/>
    <mergeCell ref="P102:P103"/>
    <mergeCell ref="Q102:Q103"/>
    <mergeCell ref="R102:R103"/>
    <mergeCell ref="S102:S103"/>
    <mergeCell ref="Q94:Q95"/>
    <mergeCell ref="R94:R95"/>
    <mergeCell ref="S94:S95"/>
    <mergeCell ref="R82:R83"/>
    <mergeCell ref="S82:S83"/>
  </mergeCells>
  <phoneticPr fontId="0" type="noConversion"/>
  <printOptions horizontalCentered="1" gridLines="1"/>
  <pageMargins left="0" right="0" top="0" bottom="0" header="0" footer="0"/>
  <pageSetup paperSize="9" fitToHeight="0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9150-7B56-4B27-90C4-E2736BADEBCD}">
  <dimension ref="A2:U70"/>
  <sheetViews>
    <sheetView tabSelected="1" topLeftCell="A44" workbookViewId="0">
      <selection activeCell="P22" sqref="P22:P24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36.42578125" style="15" customWidth="1"/>
    <col min="5" max="5" width="4.42578125" style="138" customWidth="1"/>
    <col min="6" max="6" width="10.5703125" style="139" customWidth="1"/>
    <col min="7" max="7" width="7" style="26" customWidth="1" outlineLevel="1"/>
    <col min="8" max="8" width="9.85546875" style="20" customWidth="1" outlineLevel="1"/>
    <col min="9" max="9" width="13.42578125" style="20" hidden="1" customWidth="1" outlineLevel="1"/>
    <col min="10" max="10" width="11.140625" style="20" hidden="1" customWidth="1" outlineLevel="1"/>
    <col min="11" max="11" width="10.140625" style="20" hidden="1" customWidth="1" outlineLevel="1"/>
    <col min="12" max="12" width="10.85546875" style="20" customWidth="1" outlineLevel="1"/>
    <col min="13" max="14" width="9.28515625" style="20" customWidth="1" outlineLevel="1"/>
    <col min="15" max="15" width="26.7109375" style="20" customWidth="1"/>
    <col min="16" max="16" width="5.5703125" style="20" customWidth="1"/>
    <col min="17" max="17" width="7.7109375" style="20" customWidth="1"/>
    <col min="18" max="18" width="7.42578125" style="20" customWidth="1"/>
    <col min="19" max="19" width="7.28515625" style="20" customWidth="1"/>
    <col min="20" max="20" width="9" style="925" customWidth="1"/>
    <col min="21" max="21" width="27.85546875" style="111" customWidth="1"/>
    <col min="22" max="16384" width="9.140625" style="20"/>
  </cols>
  <sheetData>
    <row r="2" spans="1:21" ht="31.5" customHeight="1" x14ac:dyDescent="0.25">
      <c r="A2" s="489" t="s">
        <v>13</v>
      </c>
      <c r="B2" s="489" t="s">
        <v>14</v>
      </c>
      <c r="C2" s="490" t="s">
        <v>15</v>
      </c>
      <c r="D2" s="432" t="s">
        <v>16</v>
      </c>
      <c r="E2" s="533" t="s">
        <v>17</v>
      </c>
      <c r="F2" s="524" t="s">
        <v>18</v>
      </c>
      <c r="G2" s="524" t="s">
        <v>19</v>
      </c>
      <c r="H2" s="529" t="s">
        <v>20</v>
      </c>
      <c r="I2" s="528"/>
      <c r="J2" s="528"/>
      <c r="K2" s="528"/>
      <c r="L2" s="524" t="s">
        <v>21</v>
      </c>
      <c r="M2" s="524" t="s">
        <v>22</v>
      </c>
      <c r="N2" s="530" t="s">
        <v>23</v>
      </c>
      <c r="O2" s="475" t="s">
        <v>24</v>
      </c>
      <c r="P2" s="475"/>
      <c r="Q2" s="475"/>
      <c r="R2" s="475"/>
      <c r="S2" s="475"/>
      <c r="T2" s="915" t="s">
        <v>25</v>
      </c>
    </row>
    <row r="3" spans="1:21" ht="12.75" x14ac:dyDescent="0.2">
      <c r="A3" s="489"/>
      <c r="B3" s="489"/>
      <c r="C3" s="490"/>
      <c r="D3" s="432"/>
      <c r="E3" s="534"/>
      <c r="F3" s="535"/>
      <c r="G3" s="528"/>
      <c r="H3" s="524" t="s">
        <v>23</v>
      </c>
      <c r="I3" s="525" t="s">
        <v>26</v>
      </c>
      <c r="J3" s="525"/>
      <c r="K3" s="525"/>
      <c r="L3" s="528"/>
      <c r="M3" s="528"/>
      <c r="N3" s="531"/>
      <c r="O3" s="71"/>
      <c r="P3" s="67"/>
      <c r="Q3" s="475" t="s">
        <v>27</v>
      </c>
      <c r="R3" s="475"/>
      <c r="S3" s="475"/>
      <c r="T3" s="915"/>
    </row>
    <row r="4" spans="1:21" ht="73.5" customHeight="1" x14ac:dyDescent="0.2">
      <c r="A4" s="489"/>
      <c r="B4" s="489"/>
      <c r="C4" s="490"/>
      <c r="D4" s="432"/>
      <c r="E4" s="534"/>
      <c r="F4" s="535"/>
      <c r="G4" s="528"/>
      <c r="H4" s="524"/>
      <c r="I4" s="21" t="s">
        <v>23</v>
      </c>
      <c r="J4" s="21" t="s">
        <v>28</v>
      </c>
      <c r="K4" s="21" t="s">
        <v>29</v>
      </c>
      <c r="L4" s="528"/>
      <c r="M4" s="528"/>
      <c r="N4" s="53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915"/>
      <c r="U4" s="112"/>
    </row>
    <row r="5" spans="1:21" ht="14.25" x14ac:dyDescent="0.2">
      <c r="A5" s="113" t="s">
        <v>181</v>
      </c>
      <c r="B5" s="113"/>
      <c r="C5" s="22"/>
      <c r="D5" s="23"/>
      <c r="E5" s="23"/>
      <c r="F5" s="114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916"/>
    </row>
    <row r="6" spans="1:21" ht="14.25" x14ac:dyDescent="0.2">
      <c r="A6" s="115" t="s">
        <v>36</v>
      </c>
      <c r="B6" s="116" t="s">
        <v>182</v>
      </c>
      <c r="C6" s="28"/>
      <c r="D6" s="29"/>
      <c r="E6" s="29"/>
      <c r="F6" s="117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917"/>
    </row>
    <row r="7" spans="1:21" x14ac:dyDescent="0.2">
      <c r="A7" s="27" t="s">
        <v>36</v>
      </c>
      <c r="B7" s="32" t="s">
        <v>36</v>
      </c>
      <c r="C7" s="424" t="s">
        <v>183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</row>
    <row r="8" spans="1:21" ht="12.95" customHeight="1" x14ac:dyDescent="0.2">
      <c r="A8" s="456" t="s">
        <v>36</v>
      </c>
      <c r="B8" s="443" t="s">
        <v>36</v>
      </c>
      <c r="C8" s="526" t="s">
        <v>36</v>
      </c>
      <c r="D8" s="527" t="s">
        <v>184</v>
      </c>
      <c r="E8" s="421" t="s">
        <v>114</v>
      </c>
      <c r="F8" s="486" t="s">
        <v>185</v>
      </c>
      <c r="G8" s="118" t="s">
        <v>40</v>
      </c>
      <c r="H8" s="206">
        <v>2003.6</v>
      </c>
      <c r="I8" s="119">
        <v>1691.6</v>
      </c>
      <c r="J8" s="119">
        <v>1358.9</v>
      </c>
      <c r="K8" s="119"/>
      <c r="L8" s="7">
        <f>H8*1.05</f>
        <v>2103.7800000000002</v>
      </c>
      <c r="M8" s="7">
        <f>L8*1.05</f>
        <v>2208.9690000000005</v>
      </c>
      <c r="N8" s="119">
        <f>H8+L8+M8</f>
        <v>6316.3490000000002</v>
      </c>
      <c r="O8" s="898" t="s">
        <v>186</v>
      </c>
      <c r="P8" s="538" t="s">
        <v>62</v>
      </c>
      <c r="Q8" s="909">
        <v>7</v>
      </c>
      <c r="R8" s="909">
        <v>7</v>
      </c>
      <c r="S8" s="909">
        <v>7</v>
      </c>
      <c r="T8" s="918" t="s">
        <v>187</v>
      </c>
    </row>
    <row r="9" spans="1:21" ht="12.95" customHeight="1" x14ac:dyDescent="0.2">
      <c r="A9" s="456"/>
      <c r="B9" s="443"/>
      <c r="C9" s="526"/>
      <c r="D9" s="527"/>
      <c r="E9" s="421"/>
      <c r="F9" s="487"/>
      <c r="G9" s="118" t="s">
        <v>95</v>
      </c>
      <c r="H9" s="206">
        <v>2118.1999999999998</v>
      </c>
      <c r="I9" s="119">
        <v>1855.4</v>
      </c>
      <c r="J9" s="119">
        <v>1793.8</v>
      </c>
      <c r="K9" s="119"/>
      <c r="L9" s="7">
        <f>H9*1.05</f>
        <v>2224.11</v>
      </c>
      <c r="M9" s="7">
        <f>L9*1.05</f>
        <v>2335.3155000000002</v>
      </c>
      <c r="N9" s="119">
        <f>H9+L9+M9</f>
        <v>6677.6255000000001</v>
      </c>
      <c r="O9" s="899"/>
      <c r="P9" s="539"/>
      <c r="Q9" s="910"/>
      <c r="R9" s="910"/>
      <c r="S9" s="910"/>
      <c r="T9" s="918"/>
    </row>
    <row r="10" spans="1:21" ht="12.75" x14ac:dyDescent="0.2">
      <c r="A10" s="456"/>
      <c r="B10" s="443"/>
      <c r="C10" s="526"/>
      <c r="D10" s="527"/>
      <c r="E10" s="421"/>
      <c r="F10" s="487"/>
      <c r="G10" s="118" t="s">
        <v>53</v>
      </c>
      <c r="H10" s="207">
        <v>356.2</v>
      </c>
      <c r="I10" s="119">
        <v>337.3</v>
      </c>
      <c r="J10" s="119"/>
      <c r="K10" s="119"/>
      <c r="L10" s="7">
        <f>H10*1.05</f>
        <v>374.01</v>
      </c>
      <c r="M10" s="7">
        <f>L10*1.05</f>
        <v>392.71050000000002</v>
      </c>
      <c r="N10" s="119">
        <f>H10+L10+M10</f>
        <v>1122.9205000000002</v>
      </c>
      <c r="O10" s="900" t="s">
        <v>188</v>
      </c>
      <c r="P10" s="536" t="s">
        <v>45</v>
      </c>
      <c r="Q10" s="911">
        <v>881</v>
      </c>
      <c r="R10" s="911">
        <v>881</v>
      </c>
      <c r="S10" s="911">
        <v>881</v>
      </c>
      <c r="T10" s="918"/>
    </row>
    <row r="11" spans="1:21" ht="12.95" customHeight="1" x14ac:dyDescent="0.2">
      <c r="A11" s="456"/>
      <c r="B11" s="443"/>
      <c r="C11" s="526"/>
      <c r="D11" s="527"/>
      <c r="E11" s="421"/>
      <c r="F11" s="488"/>
      <c r="G11" s="122" t="s">
        <v>23</v>
      </c>
      <c r="H11" s="123">
        <f>+H8+H9+H10</f>
        <v>4477.9999999999991</v>
      </c>
      <c r="I11" s="123">
        <f t="shared" ref="I11:N11" si="0">+I8+I9+I10</f>
        <v>3884.3</v>
      </c>
      <c r="J11" s="123">
        <f t="shared" si="0"/>
        <v>3152.7</v>
      </c>
      <c r="K11" s="123">
        <f t="shared" si="0"/>
        <v>0</v>
      </c>
      <c r="L11" s="123">
        <f t="shared" si="0"/>
        <v>4701.9000000000005</v>
      </c>
      <c r="M11" s="123">
        <f t="shared" si="0"/>
        <v>4936.9950000000008</v>
      </c>
      <c r="N11" s="123">
        <f t="shared" si="0"/>
        <v>14116.895</v>
      </c>
      <c r="O11" s="901"/>
      <c r="P11" s="537"/>
      <c r="Q11" s="912"/>
      <c r="R11" s="912"/>
      <c r="S11" s="912"/>
      <c r="T11" s="918"/>
    </row>
    <row r="12" spans="1:21" ht="12.75" x14ac:dyDescent="0.2">
      <c r="A12" s="456" t="s">
        <v>36</v>
      </c>
      <c r="B12" s="443" t="s">
        <v>36</v>
      </c>
      <c r="C12" s="526" t="s">
        <v>46</v>
      </c>
      <c r="D12" s="432" t="s">
        <v>189</v>
      </c>
      <c r="E12" s="540" t="s">
        <v>114</v>
      </c>
      <c r="F12" s="541" t="s">
        <v>190</v>
      </c>
      <c r="G12" s="118" t="s">
        <v>40</v>
      </c>
      <c r="H12" s="119">
        <v>4437.3</v>
      </c>
      <c r="I12" s="119">
        <v>3673.3</v>
      </c>
      <c r="J12" s="119">
        <v>2739.6</v>
      </c>
      <c r="K12" s="119">
        <v>49.9</v>
      </c>
      <c r="L12" s="7">
        <f>H12*1.05</f>
        <v>4659.165</v>
      </c>
      <c r="M12" s="7">
        <f t="shared" ref="M12:M14" si="1">L12*1.05</f>
        <v>4892.1232500000006</v>
      </c>
      <c r="N12" s="119">
        <f>H12+L12+M12</f>
        <v>13988.588250000001</v>
      </c>
      <c r="O12" s="900" t="s">
        <v>191</v>
      </c>
      <c r="P12" s="536" t="s">
        <v>62</v>
      </c>
      <c r="Q12" s="911">
        <v>24</v>
      </c>
      <c r="R12" s="911">
        <v>24</v>
      </c>
      <c r="S12" s="911">
        <v>24</v>
      </c>
      <c r="T12" s="918" t="s">
        <v>187</v>
      </c>
    </row>
    <row r="13" spans="1:21" ht="12.95" customHeight="1" x14ac:dyDescent="0.2">
      <c r="A13" s="456"/>
      <c r="B13" s="443"/>
      <c r="C13" s="526"/>
      <c r="D13" s="432"/>
      <c r="E13" s="540"/>
      <c r="F13" s="542"/>
      <c r="G13" s="118" t="s">
        <v>95</v>
      </c>
      <c r="H13" s="119">
        <v>12130.1</v>
      </c>
      <c r="I13" s="119">
        <v>10939.8</v>
      </c>
      <c r="J13" s="119">
        <v>10508.9</v>
      </c>
      <c r="K13" s="119">
        <v>10</v>
      </c>
      <c r="L13" s="7">
        <f>H13*1.05</f>
        <v>12736.605000000001</v>
      </c>
      <c r="M13" s="7">
        <f t="shared" si="1"/>
        <v>13373.435250000002</v>
      </c>
      <c r="N13" s="119">
        <f>H13+L13+M13</f>
        <v>38240.140250000004</v>
      </c>
      <c r="O13" s="901"/>
      <c r="P13" s="537"/>
      <c r="Q13" s="912"/>
      <c r="R13" s="912"/>
      <c r="S13" s="912"/>
      <c r="T13" s="918"/>
    </row>
    <row r="14" spans="1:21" ht="24" x14ac:dyDescent="0.2">
      <c r="A14" s="456"/>
      <c r="B14" s="443"/>
      <c r="C14" s="526"/>
      <c r="D14" s="432"/>
      <c r="E14" s="540"/>
      <c r="F14" s="542"/>
      <c r="G14" s="118" t="s">
        <v>53</v>
      </c>
      <c r="H14" s="119">
        <v>84</v>
      </c>
      <c r="I14" s="119">
        <v>54.8</v>
      </c>
      <c r="J14" s="119"/>
      <c r="K14" s="119"/>
      <c r="L14" s="7">
        <f>H14*1.05</f>
        <v>88.2</v>
      </c>
      <c r="M14" s="7">
        <f t="shared" si="1"/>
        <v>92.610000000000014</v>
      </c>
      <c r="N14" s="119">
        <f>H14+L14+M14</f>
        <v>264.81</v>
      </c>
      <c r="O14" s="902" t="s">
        <v>192</v>
      </c>
      <c r="P14" s="121" t="s">
        <v>45</v>
      </c>
      <c r="Q14" s="930">
        <v>1550</v>
      </c>
      <c r="R14" s="930">
        <v>1548</v>
      </c>
      <c r="S14" s="930">
        <v>1546</v>
      </c>
      <c r="T14" s="918"/>
    </row>
    <row r="15" spans="1:21" ht="24" x14ac:dyDescent="0.2">
      <c r="A15" s="456"/>
      <c r="B15" s="443"/>
      <c r="C15" s="526"/>
      <c r="D15" s="432"/>
      <c r="E15" s="540"/>
      <c r="F15" s="543"/>
      <c r="G15" s="122" t="s">
        <v>23</v>
      </c>
      <c r="H15" s="123">
        <f>+H12+H14+H13</f>
        <v>16651.400000000001</v>
      </c>
      <c r="I15" s="123">
        <f t="shared" ref="I15:N15" si="2">+I12+I14+I13</f>
        <v>14667.9</v>
      </c>
      <c r="J15" s="123">
        <f t="shared" si="2"/>
        <v>13248.5</v>
      </c>
      <c r="K15" s="123">
        <f t="shared" si="2"/>
        <v>59.9</v>
      </c>
      <c r="L15" s="123">
        <f t="shared" si="2"/>
        <v>17483.97</v>
      </c>
      <c r="M15" s="123">
        <f t="shared" si="2"/>
        <v>18358.168500000003</v>
      </c>
      <c r="N15" s="123">
        <f t="shared" si="2"/>
        <v>52493.538500000002</v>
      </c>
      <c r="O15" s="902" t="s">
        <v>193</v>
      </c>
      <c r="P15" s="121" t="s">
        <v>45</v>
      </c>
      <c r="Q15" s="913">
        <v>437</v>
      </c>
      <c r="R15" s="913">
        <v>435</v>
      </c>
      <c r="S15" s="913">
        <v>433</v>
      </c>
      <c r="T15" s="918"/>
    </row>
    <row r="16" spans="1:21" ht="12.75" customHeight="1" x14ac:dyDescent="0.2">
      <c r="A16" s="404" t="s">
        <v>36</v>
      </c>
      <c r="B16" s="406" t="s">
        <v>36</v>
      </c>
      <c r="C16" s="408" t="s">
        <v>50</v>
      </c>
      <c r="D16" s="397" t="s">
        <v>194</v>
      </c>
      <c r="E16" s="544" t="s">
        <v>114</v>
      </c>
      <c r="F16" s="541">
        <v>188718713</v>
      </c>
      <c r="G16" s="118" t="s">
        <v>95</v>
      </c>
      <c r="H16" s="119">
        <v>5.5</v>
      </c>
      <c r="I16" s="119">
        <v>5.4</v>
      </c>
      <c r="J16" s="119"/>
      <c r="K16" s="119"/>
      <c r="L16" s="7">
        <f>H16*1.05</f>
        <v>5.7750000000000004</v>
      </c>
      <c r="M16" s="7">
        <f>L16*1.05</f>
        <v>6.0637500000000006</v>
      </c>
      <c r="N16" s="119">
        <f>H16+L16+M16</f>
        <v>17.338750000000001</v>
      </c>
      <c r="O16" s="903" t="s">
        <v>195</v>
      </c>
      <c r="P16" s="536" t="s">
        <v>62</v>
      </c>
      <c r="Q16" s="911">
        <v>18</v>
      </c>
      <c r="R16" s="911">
        <v>18</v>
      </c>
      <c r="S16" s="911">
        <v>18</v>
      </c>
      <c r="T16" s="919" t="s">
        <v>187</v>
      </c>
    </row>
    <row r="17" spans="1:20" ht="24.75" customHeight="1" x14ac:dyDescent="0.2">
      <c r="A17" s="405"/>
      <c r="B17" s="407"/>
      <c r="C17" s="409"/>
      <c r="D17" s="398"/>
      <c r="E17" s="545"/>
      <c r="F17" s="543"/>
      <c r="G17" s="126" t="s">
        <v>23</v>
      </c>
      <c r="H17" s="123">
        <f>+H16</f>
        <v>5.5</v>
      </c>
      <c r="I17" s="123">
        <f t="shared" ref="I17:M17" si="3">+I16</f>
        <v>5.4</v>
      </c>
      <c r="J17" s="123">
        <f t="shared" si="3"/>
        <v>0</v>
      </c>
      <c r="K17" s="123">
        <f t="shared" si="3"/>
        <v>0</v>
      </c>
      <c r="L17" s="123">
        <f t="shared" si="3"/>
        <v>5.7750000000000004</v>
      </c>
      <c r="M17" s="123">
        <f t="shared" si="3"/>
        <v>6.0637500000000006</v>
      </c>
      <c r="N17" s="123">
        <f>+N16</f>
        <v>17.338750000000001</v>
      </c>
      <c r="O17" s="904"/>
      <c r="P17" s="537"/>
      <c r="Q17" s="912"/>
      <c r="R17" s="912"/>
      <c r="S17" s="912"/>
      <c r="T17" s="920"/>
    </row>
    <row r="18" spans="1:20" ht="24" x14ac:dyDescent="0.2">
      <c r="A18" s="456" t="s">
        <v>36</v>
      </c>
      <c r="B18" s="443" t="s">
        <v>36</v>
      </c>
      <c r="C18" s="526" t="s">
        <v>55</v>
      </c>
      <c r="D18" s="397" t="s">
        <v>196</v>
      </c>
      <c r="E18" s="540" t="s">
        <v>114</v>
      </c>
      <c r="F18" s="541" t="s">
        <v>197</v>
      </c>
      <c r="G18" s="118" t="s">
        <v>40</v>
      </c>
      <c r="H18" s="119">
        <v>273.3</v>
      </c>
      <c r="I18" s="119">
        <v>237.1</v>
      </c>
      <c r="J18" s="119"/>
      <c r="K18" s="119"/>
      <c r="L18" s="7">
        <f>H18*1.05</f>
        <v>286.96500000000003</v>
      </c>
      <c r="M18" s="7">
        <f>L18*1.05</f>
        <v>301.31325000000004</v>
      </c>
      <c r="N18" s="119">
        <f>H18+L18+M18</f>
        <v>861.57825000000014</v>
      </c>
      <c r="O18" s="905" t="s">
        <v>198</v>
      </c>
      <c r="P18" s="128" t="s">
        <v>45</v>
      </c>
      <c r="Q18" s="914">
        <v>763</v>
      </c>
      <c r="R18" s="914">
        <v>706</v>
      </c>
      <c r="S18" s="914">
        <v>703</v>
      </c>
      <c r="T18" s="919" t="s">
        <v>187</v>
      </c>
    </row>
    <row r="19" spans="1:20" ht="24" x14ac:dyDescent="0.2">
      <c r="A19" s="456"/>
      <c r="B19" s="443"/>
      <c r="C19" s="526"/>
      <c r="D19" s="398"/>
      <c r="E19" s="540"/>
      <c r="F19" s="543"/>
      <c r="G19" s="122" t="s">
        <v>23</v>
      </c>
      <c r="H19" s="123">
        <f>+H18</f>
        <v>273.3</v>
      </c>
      <c r="I19" s="123">
        <f t="shared" ref="I19:N19" si="4">+I18</f>
        <v>237.1</v>
      </c>
      <c r="J19" s="123">
        <f t="shared" si="4"/>
        <v>0</v>
      </c>
      <c r="K19" s="123">
        <f t="shared" si="4"/>
        <v>0</v>
      </c>
      <c r="L19" s="123">
        <f t="shared" si="4"/>
        <v>286.96500000000003</v>
      </c>
      <c r="M19" s="123">
        <f t="shared" si="4"/>
        <v>301.31325000000004</v>
      </c>
      <c r="N19" s="123">
        <f t="shared" si="4"/>
        <v>861.57825000000014</v>
      </c>
      <c r="O19" s="905" t="s">
        <v>199</v>
      </c>
      <c r="P19" s="128" t="s">
        <v>45</v>
      </c>
      <c r="Q19" s="914">
        <v>612</v>
      </c>
      <c r="R19" s="914">
        <v>669</v>
      </c>
      <c r="S19" s="914">
        <v>667</v>
      </c>
      <c r="T19" s="920"/>
    </row>
    <row r="20" spans="1:20" ht="12.75" x14ac:dyDescent="0.2">
      <c r="A20" s="456" t="s">
        <v>36</v>
      </c>
      <c r="B20" s="443" t="s">
        <v>36</v>
      </c>
      <c r="C20" s="474" t="s">
        <v>114</v>
      </c>
      <c r="D20" s="546" t="s">
        <v>200</v>
      </c>
      <c r="E20" s="540" t="s">
        <v>114</v>
      </c>
      <c r="F20" s="541" t="s">
        <v>201</v>
      </c>
      <c r="G20" s="118" t="s">
        <v>53</v>
      </c>
      <c r="H20" s="119">
        <v>23.6</v>
      </c>
      <c r="I20" s="119">
        <v>18.2</v>
      </c>
      <c r="J20" s="119"/>
      <c r="K20" s="119"/>
      <c r="L20" s="7">
        <f>H20*1.05</f>
        <v>24.78</v>
      </c>
      <c r="M20" s="7">
        <f>L20*1.05</f>
        <v>26.019000000000002</v>
      </c>
      <c r="N20" s="119">
        <f>H20+L20+M20</f>
        <v>74.399000000000001</v>
      </c>
      <c r="O20" s="903" t="s">
        <v>202</v>
      </c>
      <c r="P20" s="536" t="s">
        <v>62</v>
      </c>
      <c r="Q20" s="911">
        <v>13</v>
      </c>
      <c r="R20" s="911">
        <v>13</v>
      </c>
      <c r="S20" s="911">
        <v>13</v>
      </c>
      <c r="T20" s="921" t="s">
        <v>203</v>
      </c>
    </row>
    <row r="21" spans="1:20" ht="32.25" customHeight="1" x14ac:dyDescent="0.2">
      <c r="A21" s="456"/>
      <c r="B21" s="443"/>
      <c r="C21" s="474"/>
      <c r="D21" s="546"/>
      <c r="E21" s="540"/>
      <c r="F21" s="543"/>
      <c r="G21" s="122" t="s">
        <v>23</v>
      </c>
      <c r="H21" s="123">
        <f>+H20</f>
        <v>23.6</v>
      </c>
      <c r="I21" s="123">
        <f t="shared" ref="I21:N21" si="5">+I20</f>
        <v>18.2</v>
      </c>
      <c r="J21" s="123">
        <f t="shared" si="5"/>
        <v>0</v>
      </c>
      <c r="K21" s="123">
        <f t="shared" si="5"/>
        <v>0</v>
      </c>
      <c r="L21" s="123">
        <f t="shared" si="5"/>
        <v>24.78</v>
      </c>
      <c r="M21" s="123">
        <f t="shared" si="5"/>
        <v>26.019000000000002</v>
      </c>
      <c r="N21" s="123">
        <f t="shared" si="5"/>
        <v>74.399000000000001</v>
      </c>
      <c r="O21" s="904"/>
      <c r="P21" s="537"/>
      <c r="Q21" s="912"/>
      <c r="R21" s="912"/>
      <c r="S21" s="912"/>
      <c r="T21" s="921"/>
    </row>
    <row r="22" spans="1:20" ht="12.75" x14ac:dyDescent="0.2">
      <c r="A22" s="456" t="s">
        <v>36</v>
      </c>
      <c r="B22" s="443" t="s">
        <v>36</v>
      </c>
      <c r="C22" s="474" t="s">
        <v>75</v>
      </c>
      <c r="D22" s="546" t="s">
        <v>204</v>
      </c>
      <c r="E22" s="540" t="s">
        <v>114</v>
      </c>
      <c r="F22" s="541">
        <v>188718713</v>
      </c>
      <c r="G22" s="118" t="s">
        <v>95</v>
      </c>
      <c r="H22" s="119">
        <v>280.89999999999998</v>
      </c>
      <c r="I22" s="119">
        <v>251.7</v>
      </c>
      <c r="J22" s="119">
        <v>243</v>
      </c>
      <c r="K22" s="119"/>
      <c r="L22" s="7">
        <f t="shared" ref="L22:L23" si="6">H22*1.05</f>
        <v>294.94499999999999</v>
      </c>
      <c r="M22" s="7">
        <f t="shared" ref="M22:M23" si="7">L22*1.05</f>
        <v>309.69225</v>
      </c>
      <c r="N22" s="119">
        <f>H22+L22+M22</f>
        <v>885.53725000000009</v>
      </c>
      <c r="O22" s="903" t="s">
        <v>205</v>
      </c>
      <c r="P22" s="536" t="s">
        <v>62</v>
      </c>
      <c r="Q22" s="536">
        <v>6</v>
      </c>
      <c r="R22" s="536">
        <v>0</v>
      </c>
      <c r="S22" s="536">
        <v>0</v>
      </c>
      <c r="T22" s="921" t="s">
        <v>206</v>
      </c>
    </row>
    <row r="23" spans="1:20" ht="12.75" x14ac:dyDescent="0.2">
      <c r="A23" s="456"/>
      <c r="B23" s="443"/>
      <c r="C23" s="474"/>
      <c r="D23" s="546"/>
      <c r="E23" s="540"/>
      <c r="F23" s="542"/>
      <c r="G23" s="118" t="s">
        <v>40</v>
      </c>
      <c r="H23" s="119">
        <v>1000</v>
      </c>
      <c r="I23" s="119">
        <v>530.70000000000005</v>
      </c>
      <c r="J23" s="119">
        <v>261.2</v>
      </c>
      <c r="K23" s="119"/>
      <c r="L23" s="7">
        <f t="shared" si="6"/>
        <v>1050</v>
      </c>
      <c r="M23" s="7">
        <f t="shared" si="7"/>
        <v>1102.5</v>
      </c>
      <c r="N23" s="119">
        <f>H23+L23+M23</f>
        <v>3152.5</v>
      </c>
      <c r="O23" s="906"/>
      <c r="P23" s="547"/>
      <c r="Q23" s="547"/>
      <c r="R23" s="547"/>
      <c r="S23" s="547"/>
      <c r="T23" s="921"/>
    </row>
    <row r="24" spans="1:20" ht="12.75" x14ac:dyDescent="0.2">
      <c r="A24" s="456"/>
      <c r="B24" s="443"/>
      <c r="C24" s="474"/>
      <c r="D24" s="546"/>
      <c r="E24" s="540"/>
      <c r="F24" s="543"/>
      <c r="G24" s="122" t="s">
        <v>23</v>
      </c>
      <c r="H24" s="123">
        <f>+H22+H23</f>
        <v>1280.9000000000001</v>
      </c>
      <c r="I24" s="123">
        <f>+I22+I23</f>
        <v>782.40000000000009</v>
      </c>
      <c r="J24" s="123">
        <f t="shared" ref="J24:N24" si="8">+J22+J23</f>
        <v>504.2</v>
      </c>
      <c r="K24" s="123">
        <f t="shared" si="8"/>
        <v>0</v>
      </c>
      <c r="L24" s="123">
        <f t="shared" si="8"/>
        <v>1344.9449999999999</v>
      </c>
      <c r="M24" s="123">
        <f t="shared" si="8"/>
        <v>1412.1922500000001</v>
      </c>
      <c r="N24" s="123">
        <f t="shared" si="8"/>
        <v>4038.0372500000003</v>
      </c>
      <c r="O24" s="904"/>
      <c r="P24" s="537"/>
      <c r="Q24" s="537"/>
      <c r="R24" s="537"/>
      <c r="S24" s="537"/>
      <c r="T24" s="921"/>
    </row>
    <row r="25" spans="1:20" x14ac:dyDescent="0.2">
      <c r="A25" s="27" t="s">
        <v>36</v>
      </c>
      <c r="B25" s="32" t="s">
        <v>46</v>
      </c>
      <c r="C25" s="424" t="s">
        <v>207</v>
      </c>
      <c r="D25" s="425"/>
      <c r="E25" s="425"/>
      <c r="F25" s="425"/>
      <c r="G25" s="425"/>
      <c r="H25" s="425"/>
      <c r="I25" s="425"/>
      <c r="J25" s="425"/>
      <c r="K25" s="425"/>
      <c r="L25" s="425"/>
      <c r="M25" s="425"/>
      <c r="N25" s="425"/>
      <c r="O25" s="425"/>
      <c r="P25" s="425"/>
      <c r="Q25" s="425"/>
      <c r="R25" s="425"/>
      <c r="S25" s="425"/>
      <c r="T25" s="426"/>
    </row>
    <row r="26" spans="1:20" ht="12.75" x14ac:dyDescent="0.2">
      <c r="A26" s="404" t="s">
        <v>36</v>
      </c>
      <c r="B26" s="406" t="s">
        <v>46</v>
      </c>
      <c r="C26" s="408" t="s">
        <v>36</v>
      </c>
      <c r="D26" s="397" t="s">
        <v>208</v>
      </c>
      <c r="E26" s="544" t="s">
        <v>114</v>
      </c>
      <c r="F26" s="541">
        <v>188718713</v>
      </c>
      <c r="G26" s="118" t="s">
        <v>95</v>
      </c>
      <c r="H26" s="119">
        <v>0</v>
      </c>
      <c r="I26" s="119">
        <v>5.4</v>
      </c>
      <c r="J26" s="119"/>
      <c r="K26" s="119"/>
      <c r="L26" s="7">
        <f>H26*1.05</f>
        <v>0</v>
      </c>
      <c r="M26" s="7">
        <f>+H26*0.1+H26</f>
        <v>0</v>
      </c>
      <c r="N26" s="119">
        <f>H26+L26+M26</f>
        <v>0</v>
      </c>
      <c r="O26" s="903" t="s">
        <v>209</v>
      </c>
      <c r="P26" s="536" t="s">
        <v>45</v>
      </c>
      <c r="Q26" s="536">
        <v>0</v>
      </c>
      <c r="R26" s="536">
        <v>0</v>
      </c>
      <c r="S26" s="536">
        <v>0</v>
      </c>
      <c r="T26" s="919" t="s">
        <v>187</v>
      </c>
    </row>
    <row r="27" spans="1:20" ht="12.75" x14ac:dyDescent="0.2">
      <c r="A27" s="405"/>
      <c r="B27" s="407"/>
      <c r="C27" s="409"/>
      <c r="D27" s="398"/>
      <c r="E27" s="545"/>
      <c r="F27" s="543"/>
      <c r="G27" s="126" t="s">
        <v>23</v>
      </c>
      <c r="H27" s="123">
        <f>+H26</f>
        <v>0</v>
      </c>
      <c r="I27" s="123">
        <f t="shared" ref="I27:M27" si="9">+I26</f>
        <v>5.4</v>
      </c>
      <c r="J27" s="123">
        <f t="shared" si="9"/>
        <v>0</v>
      </c>
      <c r="K27" s="123">
        <f t="shared" si="9"/>
        <v>0</v>
      </c>
      <c r="L27" s="123">
        <f t="shared" si="9"/>
        <v>0</v>
      </c>
      <c r="M27" s="123">
        <f t="shared" si="9"/>
        <v>0</v>
      </c>
      <c r="N27" s="123">
        <f>+N26</f>
        <v>0</v>
      </c>
      <c r="O27" s="904"/>
      <c r="P27" s="537"/>
      <c r="Q27" s="537"/>
      <c r="R27" s="537"/>
      <c r="S27" s="537"/>
      <c r="T27" s="920"/>
    </row>
    <row r="28" spans="1:20" ht="14.25" x14ac:dyDescent="0.2">
      <c r="A28" s="115" t="s">
        <v>46</v>
      </c>
      <c r="B28" s="548" t="s">
        <v>210</v>
      </c>
      <c r="C28" s="549"/>
      <c r="D28" s="549"/>
      <c r="E28" s="549"/>
      <c r="F28" s="549"/>
      <c r="G28" s="549"/>
      <c r="H28" s="549"/>
      <c r="I28" s="549"/>
      <c r="J28" s="549"/>
      <c r="K28" s="549"/>
      <c r="L28" s="549"/>
      <c r="M28" s="549"/>
      <c r="N28" s="549"/>
      <c r="O28" s="549"/>
      <c r="P28" s="549"/>
      <c r="Q28" s="549"/>
      <c r="R28" s="549"/>
      <c r="S28" s="549"/>
      <c r="T28" s="550"/>
    </row>
    <row r="29" spans="1:20" x14ac:dyDescent="0.2">
      <c r="A29" s="27" t="s">
        <v>46</v>
      </c>
      <c r="B29" s="32" t="s">
        <v>36</v>
      </c>
      <c r="C29" s="424" t="s">
        <v>211</v>
      </c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5"/>
      <c r="T29" s="426"/>
    </row>
    <row r="30" spans="1:20" ht="24" x14ac:dyDescent="0.2">
      <c r="A30" s="456" t="s">
        <v>46</v>
      </c>
      <c r="B30" s="443" t="s">
        <v>36</v>
      </c>
      <c r="C30" s="444" t="s">
        <v>36</v>
      </c>
      <c r="D30" s="551" t="s">
        <v>212</v>
      </c>
      <c r="E30" s="540" t="s">
        <v>114</v>
      </c>
      <c r="F30" s="541">
        <v>188718713</v>
      </c>
      <c r="G30" s="130" t="s">
        <v>40</v>
      </c>
      <c r="H30" s="131">
        <v>30</v>
      </c>
      <c r="I30" s="131">
        <f>H30*1.05</f>
        <v>31.5</v>
      </c>
      <c r="J30" s="131">
        <f>I30*1.05</f>
        <v>33.075000000000003</v>
      </c>
      <c r="K30" s="132"/>
      <c r="L30" s="7">
        <f>H30*1.05</f>
        <v>31.5</v>
      </c>
      <c r="M30" s="7">
        <f>L30*1.05</f>
        <v>33.075000000000003</v>
      </c>
      <c r="N30" s="119">
        <f>H30+L30+M30</f>
        <v>94.575000000000003</v>
      </c>
      <c r="O30" s="905" t="s">
        <v>213</v>
      </c>
      <c r="P30" s="128" t="s">
        <v>62</v>
      </c>
      <c r="Q30" s="914">
        <v>37</v>
      </c>
      <c r="R30" s="914">
        <v>37</v>
      </c>
      <c r="S30" s="914">
        <v>37</v>
      </c>
      <c r="T30" s="921" t="s">
        <v>187</v>
      </c>
    </row>
    <row r="31" spans="1:20" ht="24" x14ac:dyDescent="0.2">
      <c r="A31" s="456"/>
      <c r="B31" s="443"/>
      <c r="C31" s="444"/>
      <c r="D31" s="552"/>
      <c r="E31" s="540"/>
      <c r="F31" s="543"/>
      <c r="G31" s="126" t="s">
        <v>23</v>
      </c>
      <c r="H31" s="123">
        <f t="shared" ref="H31:M31" si="10">+H30</f>
        <v>30</v>
      </c>
      <c r="I31" s="123">
        <f t="shared" si="10"/>
        <v>31.5</v>
      </c>
      <c r="J31" s="123">
        <f t="shared" si="10"/>
        <v>33.075000000000003</v>
      </c>
      <c r="K31" s="123">
        <f t="shared" si="10"/>
        <v>0</v>
      </c>
      <c r="L31" s="123">
        <f t="shared" si="10"/>
        <v>31.5</v>
      </c>
      <c r="M31" s="123">
        <f t="shared" si="10"/>
        <v>33.075000000000003</v>
      </c>
      <c r="N31" s="123">
        <f>H31+L31+M31</f>
        <v>94.575000000000003</v>
      </c>
      <c r="O31" s="905" t="s">
        <v>214</v>
      </c>
      <c r="P31" s="128" t="s">
        <v>62</v>
      </c>
      <c r="Q31" s="914">
        <v>20</v>
      </c>
      <c r="R31" s="914">
        <v>20</v>
      </c>
      <c r="S31" s="914">
        <v>20</v>
      </c>
      <c r="T31" s="921"/>
    </row>
    <row r="32" spans="1:20" ht="12.75" x14ac:dyDescent="0.2">
      <c r="A32" s="456" t="s">
        <v>46</v>
      </c>
      <c r="B32" s="443" t="s">
        <v>36</v>
      </c>
      <c r="C32" s="444" t="s">
        <v>169</v>
      </c>
      <c r="D32" s="553" t="s">
        <v>215</v>
      </c>
      <c r="E32" s="540" t="s">
        <v>114</v>
      </c>
      <c r="F32" s="541" t="s">
        <v>216</v>
      </c>
      <c r="G32" s="130" t="s">
        <v>40</v>
      </c>
      <c r="H32" s="119">
        <v>1372</v>
      </c>
      <c r="I32" s="119">
        <v>955.9</v>
      </c>
      <c r="J32" s="119">
        <v>903.2</v>
      </c>
      <c r="K32" s="119">
        <v>235</v>
      </c>
      <c r="L32" s="7">
        <f>H32*1.05</f>
        <v>1440.6000000000001</v>
      </c>
      <c r="M32" s="7">
        <f t="shared" ref="M32:M34" si="11">L32*1.05</f>
        <v>1512.63</v>
      </c>
      <c r="N32" s="119">
        <f>H32+L32+M32</f>
        <v>4325.2300000000005</v>
      </c>
      <c r="O32" s="903" t="s">
        <v>217</v>
      </c>
      <c r="P32" s="536" t="s">
        <v>62</v>
      </c>
      <c r="Q32" s="911">
        <v>4</v>
      </c>
      <c r="R32" s="911">
        <v>4</v>
      </c>
      <c r="S32" s="911">
        <v>4</v>
      </c>
      <c r="T32" s="918" t="s">
        <v>187</v>
      </c>
    </row>
    <row r="33" spans="1:20" ht="12.75" x14ac:dyDescent="0.2">
      <c r="A33" s="456"/>
      <c r="B33" s="443"/>
      <c r="C33" s="444"/>
      <c r="D33" s="553"/>
      <c r="E33" s="540"/>
      <c r="F33" s="542"/>
      <c r="G33" s="130" t="s">
        <v>53</v>
      </c>
      <c r="H33" s="119">
        <v>56.8</v>
      </c>
      <c r="I33" s="119">
        <v>49.8</v>
      </c>
      <c r="J33" s="119"/>
      <c r="K33" s="119">
        <v>7</v>
      </c>
      <c r="L33" s="7">
        <f t="shared" ref="L33:L34" si="12">H33*1.05</f>
        <v>59.64</v>
      </c>
      <c r="M33" s="7">
        <f t="shared" si="11"/>
        <v>62.622</v>
      </c>
      <c r="N33" s="119">
        <f>H33+L33+M33</f>
        <v>179.06200000000001</v>
      </c>
      <c r="O33" s="904"/>
      <c r="P33" s="537"/>
      <c r="Q33" s="912"/>
      <c r="R33" s="912"/>
      <c r="S33" s="912"/>
      <c r="T33" s="918"/>
    </row>
    <row r="34" spans="1:20" ht="12.75" x14ac:dyDescent="0.2">
      <c r="A34" s="456"/>
      <c r="B34" s="443"/>
      <c r="C34" s="444"/>
      <c r="D34" s="553"/>
      <c r="E34" s="540"/>
      <c r="F34" s="542"/>
      <c r="G34" s="130" t="s">
        <v>95</v>
      </c>
      <c r="H34" s="119">
        <v>251.1</v>
      </c>
      <c r="I34" s="119">
        <v>343.9</v>
      </c>
      <c r="J34" s="119">
        <v>149.69999999999999</v>
      </c>
      <c r="K34" s="119"/>
      <c r="L34" s="7">
        <f t="shared" si="12"/>
        <v>263.65500000000003</v>
      </c>
      <c r="M34" s="7">
        <f t="shared" si="11"/>
        <v>276.83775000000003</v>
      </c>
      <c r="N34" s="119">
        <f>H34+L34+M34</f>
        <v>791.59275000000002</v>
      </c>
      <c r="O34" s="928" t="s">
        <v>218</v>
      </c>
      <c r="P34" s="536" t="s">
        <v>45</v>
      </c>
      <c r="Q34" s="911">
        <v>664</v>
      </c>
      <c r="R34" s="911">
        <v>670</v>
      </c>
      <c r="S34" s="911">
        <v>676</v>
      </c>
      <c r="T34" s="918"/>
    </row>
    <row r="35" spans="1:20" ht="12.75" x14ac:dyDescent="0.2">
      <c r="A35" s="456"/>
      <c r="B35" s="443"/>
      <c r="C35" s="444"/>
      <c r="D35" s="553"/>
      <c r="E35" s="540"/>
      <c r="F35" s="543"/>
      <c r="G35" s="126" t="s">
        <v>23</v>
      </c>
      <c r="H35" s="123">
        <f>+SUM(H32:H34)</f>
        <v>1679.8999999999999</v>
      </c>
      <c r="I35" s="123">
        <f t="shared" ref="I35:N35" si="13">+SUM(I32:I34)</f>
        <v>1349.6</v>
      </c>
      <c r="J35" s="123">
        <f t="shared" si="13"/>
        <v>1052.9000000000001</v>
      </c>
      <c r="K35" s="123">
        <f t="shared" si="13"/>
        <v>242</v>
      </c>
      <c r="L35" s="123">
        <f t="shared" si="13"/>
        <v>1763.8950000000002</v>
      </c>
      <c r="M35" s="123">
        <f t="shared" si="13"/>
        <v>1852.0897500000001</v>
      </c>
      <c r="N35" s="123">
        <f t="shared" si="13"/>
        <v>5295.8847500000002</v>
      </c>
      <c r="O35" s="929"/>
      <c r="P35" s="537"/>
      <c r="Q35" s="912"/>
      <c r="R35" s="912"/>
      <c r="S35" s="912"/>
      <c r="T35" s="918"/>
    </row>
    <row r="36" spans="1:20" ht="12.75" x14ac:dyDescent="0.2">
      <c r="A36" s="456" t="s">
        <v>46</v>
      </c>
      <c r="B36" s="443" t="s">
        <v>36</v>
      </c>
      <c r="C36" s="444" t="s">
        <v>107</v>
      </c>
      <c r="D36" s="546" t="s">
        <v>219</v>
      </c>
      <c r="E36" s="540" t="s">
        <v>114</v>
      </c>
      <c r="F36" s="541">
        <v>188718713</v>
      </c>
      <c r="G36" s="130" t="s">
        <v>40</v>
      </c>
      <c r="H36" s="119">
        <v>50</v>
      </c>
      <c r="I36" s="119">
        <v>25</v>
      </c>
      <c r="J36" s="119"/>
      <c r="K36" s="119"/>
      <c r="L36" s="7">
        <f>H36*1.05</f>
        <v>52.5</v>
      </c>
      <c r="M36" s="7">
        <f>L36*1.05</f>
        <v>55.125</v>
      </c>
      <c r="N36" s="119">
        <f>H36+L36+M36</f>
        <v>157.625</v>
      </c>
      <c r="O36" s="903" t="s">
        <v>220</v>
      </c>
      <c r="P36" s="536" t="s">
        <v>62</v>
      </c>
      <c r="Q36" s="911">
        <v>670</v>
      </c>
      <c r="R36" s="911">
        <v>670</v>
      </c>
      <c r="S36" s="911">
        <v>670</v>
      </c>
      <c r="T36" s="921" t="s">
        <v>187</v>
      </c>
    </row>
    <row r="37" spans="1:20" ht="25.5" customHeight="1" x14ac:dyDescent="0.2">
      <c r="A37" s="456"/>
      <c r="B37" s="443"/>
      <c r="C37" s="444"/>
      <c r="D37" s="546"/>
      <c r="E37" s="540"/>
      <c r="F37" s="543"/>
      <c r="G37" s="126" t="s">
        <v>23</v>
      </c>
      <c r="H37" s="123">
        <f t="shared" ref="H37:M37" si="14">+H36</f>
        <v>50</v>
      </c>
      <c r="I37" s="123">
        <f t="shared" si="14"/>
        <v>25</v>
      </c>
      <c r="J37" s="123">
        <f t="shared" si="14"/>
        <v>0</v>
      </c>
      <c r="K37" s="123">
        <f t="shared" si="14"/>
        <v>0</v>
      </c>
      <c r="L37" s="123">
        <f t="shared" si="14"/>
        <v>52.5</v>
      </c>
      <c r="M37" s="123">
        <f t="shared" si="14"/>
        <v>55.125</v>
      </c>
      <c r="N37" s="123">
        <f>H37+L37+M37</f>
        <v>157.625</v>
      </c>
      <c r="O37" s="904" t="s">
        <v>127</v>
      </c>
      <c r="P37" s="537"/>
      <c r="Q37" s="912"/>
      <c r="R37" s="912"/>
      <c r="S37" s="912"/>
      <c r="T37" s="921"/>
    </row>
    <row r="38" spans="1:20" x14ac:dyDescent="0.2">
      <c r="A38" s="27" t="s">
        <v>46</v>
      </c>
      <c r="B38" s="32" t="s">
        <v>46</v>
      </c>
      <c r="C38" s="424" t="s">
        <v>221</v>
      </c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5"/>
      <c r="T38" s="426"/>
    </row>
    <row r="39" spans="1:20" hidden="1" x14ac:dyDescent="0.2">
      <c r="A39" s="404" t="s">
        <v>46</v>
      </c>
      <c r="B39" s="406"/>
      <c r="C39" s="410"/>
      <c r="D39" s="554" t="s">
        <v>222</v>
      </c>
      <c r="E39" s="544" t="s">
        <v>114</v>
      </c>
      <c r="F39" s="541"/>
      <c r="G39" s="130" t="s">
        <v>40</v>
      </c>
      <c r="H39" s="131"/>
      <c r="I39" s="131"/>
      <c r="J39" s="132"/>
      <c r="K39" s="132"/>
      <c r="L39" s="7">
        <f>+(H39*0.05)+H39</f>
        <v>0</v>
      </c>
      <c r="M39" s="7">
        <f>+H39*0.1+H39</f>
        <v>0</v>
      </c>
      <c r="N39" s="119">
        <f>H39+L39+M39</f>
        <v>0</v>
      </c>
      <c r="O39" s="127"/>
      <c r="P39" s="128"/>
      <c r="Q39" s="128"/>
      <c r="R39" s="128"/>
      <c r="S39" s="128"/>
      <c r="T39" s="919" t="s">
        <v>187</v>
      </c>
    </row>
    <row r="40" spans="1:20" ht="49.5" hidden="1" customHeight="1" x14ac:dyDescent="0.2">
      <c r="A40" s="405"/>
      <c r="B40" s="407"/>
      <c r="C40" s="411"/>
      <c r="D40" s="555"/>
      <c r="E40" s="545"/>
      <c r="F40" s="543"/>
      <c r="G40" s="126" t="s">
        <v>23</v>
      </c>
      <c r="H40" s="123">
        <f t="shared" ref="H40:M40" si="15">+H39</f>
        <v>0</v>
      </c>
      <c r="I40" s="123">
        <f t="shared" si="15"/>
        <v>0</v>
      </c>
      <c r="J40" s="123">
        <f t="shared" si="15"/>
        <v>0</v>
      </c>
      <c r="K40" s="123">
        <f t="shared" si="15"/>
        <v>0</v>
      </c>
      <c r="L40" s="123">
        <f t="shared" si="15"/>
        <v>0</v>
      </c>
      <c r="M40" s="123">
        <f t="shared" si="15"/>
        <v>0</v>
      </c>
      <c r="N40" s="123">
        <f>H40+L40+M40</f>
        <v>0</v>
      </c>
      <c r="O40" s="127"/>
      <c r="P40" s="128"/>
      <c r="Q40" s="128"/>
      <c r="R40" s="128"/>
      <c r="S40" s="128"/>
      <c r="T40" s="920"/>
    </row>
    <row r="41" spans="1:20" hidden="1" x14ac:dyDescent="0.2">
      <c r="A41" s="27" t="s">
        <v>46</v>
      </c>
      <c r="B41" s="32" t="s">
        <v>50</v>
      </c>
      <c r="C41" s="424" t="s">
        <v>223</v>
      </c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5"/>
      <c r="T41" s="426"/>
    </row>
    <row r="42" spans="1:20" hidden="1" x14ac:dyDescent="0.2">
      <c r="A42" s="404" t="s">
        <v>46</v>
      </c>
      <c r="B42" s="406"/>
      <c r="C42" s="410"/>
      <c r="D42" s="554" t="s">
        <v>127</v>
      </c>
      <c r="E42" s="544" t="s">
        <v>114</v>
      </c>
      <c r="F42" s="541"/>
      <c r="G42" s="130" t="s">
        <v>40</v>
      </c>
      <c r="H42" s="131"/>
      <c r="I42" s="131"/>
      <c r="J42" s="132"/>
      <c r="K42" s="132"/>
      <c r="L42" s="7">
        <f>+(H42*0.05)+H42</f>
        <v>0</v>
      </c>
      <c r="M42" s="7">
        <f>+H42*0.1+H42</f>
        <v>0</v>
      </c>
      <c r="N42" s="119">
        <f>H42+L42+M42</f>
        <v>0</v>
      </c>
      <c r="O42" s="127"/>
      <c r="P42" s="128"/>
      <c r="Q42" s="128"/>
      <c r="R42" s="128"/>
      <c r="S42" s="128"/>
      <c r="T42" s="919" t="s">
        <v>187</v>
      </c>
    </row>
    <row r="43" spans="1:20" ht="12.75" hidden="1" x14ac:dyDescent="0.2">
      <c r="A43" s="405"/>
      <c r="B43" s="407"/>
      <c r="C43" s="411"/>
      <c r="D43" s="555"/>
      <c r="E43" s="545"/>
      <c r="F43" s="543"/>
      <c r="G43" s="126" t="s">
        <v>23</v>
      </c>
      <c r="H43" s="123">
        <f t="shared" ref="H43:M43" si="16">+H42</f>
        <v>0</v>
      </c>
      <c r="I43" s="123">
        <f t="shared" si="16"/>
        <v>0</v>
      </c>
      <c r="J43" s="123">
        <f t="shared" si="16"/>
        <v>0</v>
      </c>
      <c r="K43" s="123">
        <f t="shared" si="16"/>
        <v>0</v>
      </c>
      <c r="L43" s="123">
        <f t="shared" si="16"/>
        <v>0</v>
      </c>
      <c r="M43" s="123">
        <f t="shared" si="16"/>
        <v>0</v>
      </c>
      <c r="N43" s="123">
        <f>H43+L43+M43</f>
        <v>0</v>
      </c>
      <c r="O43" s="127"/>
      <c r="P43" s="128"/>
      <c r="Q43" s="128"/>
      <c r="R43" s="128"/>
      <c r="S43" s="128"/>
      <c r="T43" s="920"/>
    </row>
    <row r="44" spans="1:20" ht="14.25" x14ac:dyDescent="0.2">
      <c r="A44" s="115" t="s">
        <v>50</v>
      </c>
      <c r="B44" s="548" t="s">
        <v>224</v>
      </c>
      <c r="C44" s="549"/>
      <c r="D44" s="549"/>
      <c r="E44" s="549"/>
      <c r="F44" s="549"/>
      <c r="G44" s="549"/>
      <c r="H44" s="549"/>
      <c r="I44" s="549"/>
      <c r="J44" s="549"/>
      <c r="K44" s="549"/>
      <c r="L44" s="549"/>
      <c r="M44" s="549"/>
      <c r="N44" s="549"/>
      <c r="O44" s="549"/>
      <c r="P44" s="549"/>
      <c r="Q44" s="549"/>
      <c r="R44" s="549"/>
      <c r="S44" s="549"/>
      <c r="T44" s="550"/>
    </row>
    <row r="45" spans="1:20" x14ac:dyDescent="0.2">
      <c r="A45" s="27" t="s">
        <v>50</v>
      </c>
      <c r="B45" s="32" t="s">
        <v>36</v>
      </c>
      <c r="C45" s="424" t="s">
        <v>225</v>
      </c>
      <c r="D45" s="425"/>
      <c r="E45" s="425"/>
      <c r="F45" s="425"/>
      <c r="G45" s="425"/>
      <c r="H45" s="425"/>
      <c r="I45" s="425"/>
      <c r="J45" s="425"/>
      <c r="K45" s="425"/>
      <c r="L45" s="425"/>
      <c r="M45" s="425"/>
      <c r="N45" s="425"/>
      <c r="O45" s="425"/>
      <c r="P45" s="425"/>
      <c r="Q45" s="425"/>
      <c r="R45" s="425"/>
      <c r="S45" s="425"/>
      <c r="T45" s="426"/>
    </row>
    <row r="46" spans="1:20" ht="12.75" x14ac:dyDescent="0.2">
      <c r="A46" s="456" t="s">
        <v>50</v>
      </c>
      <c r="B46" s="443" t="s">
        <v>36</v>
      </c>
      <c r="C46" s="444" t="s">
        <v>36</v>
      </c>
      <c r="D46" s="432" t="s">
        <v>226</v>
      </c>
      <c r="E46" s="540" t="s">
        <v>114</v>
      </c>
      <c r="F46" s="541">
        <v>188718713</v>
      </c>
      <c r="G46" s="130" t="s">
        <v>95</v>
      </c>
      <c r="H46" s="119">
        <v>29.3</v>
      </c>
      <c r="I46" s="119">
        <v>26.8</v>
      </c>
      <c r="J46" s="119">
        <v>26.4</v>
      </c>
      <c r="K46" s="119"/>
      <c r="L46" s="7">
        <f t="shared" ref="L46:L48" si="17">H46*1.05</f>
        <v>30.765000000000001</v>
      </c>
      <c r="M46" s="7">
        <f t="shared" ref="M46:M48" si="18">L46*1.05</f>
        <v>32.303249999999998</v>
      </c>
      <c r="N46" s="119">
        <f>H46+L46+M46</f>
        <v>92.368249999999989</v>
      </c>
      <c r="O46" s="903" t="s">
        <v>227</v>
      </c>
      <c r="P46" s="536" t="s">
        <v>45</v>
      </c>
      <c r="Q46" s="911">
        <v>5</v>
      </c>
      <c r="R46" s="911">
        <v>5</v>
      </c>
      <c r="S46" s="911">
        <v>5</v>
      </c>
      <c r="T46" s="919" t="s">
        <v>228</v>
      </c>
    </row>
    <row r="47" spans="1:20" ht="12.75" x14ac:dyDescent="0.2">
      <c r="A47" s="456"/>
      <c r="B47" s="443"/>
      <c r="C47" s="444"/>
      <c r="D47" s="432"/>
      <c r="E47" s="540"/>
      <c r="F47" s="542"/>
      <c r="G47" s="130" t="s">
        <v>40</v>
      </c>
      <c r="H47" s="119">
        <v>83.8</v>
      </c>
      <c r="I47" s="119">
        <v>88.8</v>
      </c>
      <c r="J47" s="119">
        <v>82.1</v>
      </c>
      <c r="K47" s="119"/>
      <c r="L47" s="7">
        <f t="shared" si="17"/>
        <v>87.99</v>
      </c>
      <c r="M47" s="7">
        <f t="shared" si="18"/>
        <v>92.389499999999998</v>
      </c>
      <c r="N47" s="119">
        <f>H47+L47+M47</f>
        <v>264.17949999999996</v>
      </c>
      <c r="O47" s="904"/>
      <c r="P47" s="537"/>
      <c r="Q47" s="912"/>
      <c r="R47" s="912"/>
      <c r="S47" s="912"/>
      <c r="T47" s="922"/>
    </row>
    <row r="48" spans="1:20" ht="12.75" x14ac:dyDescent="0.2">
      <c r="A48" s="456"/>
      <c r="B48" s="443"/>
      <c r="C48" s="444"/>
      <c r="D48" s="432"/>
      <c r="E48" s="540"/>
      <c r="F48" s="542"/>
      <c r="G48" s="130" t="s">
        <v>53</v>
      </c>
      <c r="H48" s="119">
        <v>1.5</v>
      </c>
      <c r="I48" s="119">
        <v>1.5</v>
      </c>
      <c r="J48" s="119"/>
      <c r="K48" s="119"/>
      <c r="L48" s="7">
        <f t="shared" si="17"/>
        <v>1.5750000000000002</v>
      </c>
      <c r="M48" s="7">
        <f t="shared" si="18"/>
        <v>1.6537500000000003</v>
      </c>
      <c r="N48" s="119">
        <f>H48+L48+M48</f>
        <v>4.7287500000000007</v>
      </c>
      <c r="O48" s="926" t="s">
        <v>229</v>
      </c>
      <c r="P48" s="536" t="s">
        <v>45</v>
      </c>
      <c r="Q48" s="911">
        <v>250</v>
      </c>
      <c r="R48" s="911">
        <v>250</v>
      </c>
      <c r="S48" s="911">
        <v>250</v>
      </c>
      <c r="T48" s="922"/>
    </row>
    <row r="49" spans="1:20" ht="12.75" x14ac:dyDescent="0.2">
      <c r="A49" s="456"/>
      <c r="B49" s="443"/>
      <c r="C49" s="444"/>
      <c r="D49" s="432"/>
      <c r="E49" s="540"/>
      <c r="F49" s="543"/>
      <c r="G49" s="126" t="s">
        <v>23</v>
      </c>
      <c r="H49" s="123">
        <f>SUM(H46:H48)</f>
        <v>114.6</v>
      </c>
      <c r="I49" s="123">
        <f t="shared" ref="I49:N49" si="19">SUM(I46:I48)</f>
        <v>117.1</v>
      </c>
      <c r="J49" s="123">
        <f t="shared" si="19"/>
        <v>108.5</v>
      </c>
      <c r="K49" s="123">
        <f t="shared" si="19"/>
        <v>0</v>
      </c>
      <c r="L49" s="123">
        <f t="shared" si="19"/>
        <v>120.33</v>
      </c>
      <c r="M49" s="123">
        <f t="shared" si="19"/>
        <v>126.34649999999999</v>
      </c>
      <c r="N49" s="123">
        <f t="shared" si="19"/>
        <v>361.27649999999994</v>
      </c>
      <c r="O49" s="927"/>
      <c r="P49" s="537"/>
      <c r="Q49" s="912"/>
      <c r="R49" s="912"/>
      <c r="S49" s="912"/>
      <c r="T49" s="920"/>
    </row>
    <row r="50" spans="1:20" ht="12.75" x14ac:dyDescent="0.2">
      <c r="A50" s="456" t="s">
        <v>50</v>
      </c>
      <c r="B50" s="443" t="s">
        <v>36</v>
      </c>
      <c r="C50" s="444" t="s">
        <v>46</v>
      </c>
      <c r="D50" s="529" t="s">
        <v>230</v>
      </c>
      <c r="E50" s="540" t="s">
        <v>114</v>
      </c>
      <c r="F50" s="541">
        <v>188718713</v>
      </c>
      <c r="G50" s="130" t="s">
        <v>95</v>
      </c>
      <c r="H50" s="119"/>
      <c r="I50" s="119"/>
      <c r="J50" s="119"/>
      <c r="K50" s="119"/>
      <c r="L50" s="7"/>
      <c r="M50" s="7"/>
      <c r="N50" s="119">
        <f>H50+L50+M50</f>
        <v>0</v>
      </c>
      <c r="O50" s="907" t="s">
        <v>231</v>
      </c>
      <c r="P50" s="536" t="s">
        <v>62</v>
      </c>
      <c r="Q50" s="911">
        <v>0</v>
      </c>
      <c r="R50" s="911">
        <v>1</v>
      </c>
      <c r="S50" s="911">
        <v>1</v>
      </c>
      <c r="T50" s="919" t="s">
        <v>187</v>
      </c>
    </row>
    <row r="51" spans="1:20" ht="12.75" x14ac:dyDescent="0.2">
      <c r="A51" s="456"/>
      <c r="B51" s="443"/>
      <c r="C51" s="444"/>
      <c r="D51" s="529"/>
      <c r="E51" s="540"/>
      <c r="F51" s="542"/>
      <c r="G51" s="130" t="s">
        <v>40</v>
      </c>
      <c r="H51" s="119"/>
      <c r="I51" s="119"/>
      <c r="J51" s="119"/>
      <c r="K51" s="119"/>
      <c r="L51" s="7"/>
      <c r="M51" s="7"/>
      <c r="N51" s="119">
        <f>H51+L51+M51</f>
        <v>0</v>
      </c>
      <c r="O51" s="908"/>
      <c r="P51" s="537"/>
      <c r="Q51" s="912"/>
      <c r="R51" s="912"/>
      <c r="S51" s="912"/>
      <c r="T51" s="922"/>
    </row>
    <row r="52" spans="1:20" ht="12.75" x14ac:dyDescent="0.2">
      <c r="A52" s="456"/>
      <c r="B52" s="443"/>
      <c r="C52" s="444"/>
      <c r="D52" s="529"/>
      <c r="E52" s="540"/>
      <c r="F52" s="542"/>
      <c r="G52" s="130" t="s">
        <v>53</v>
      </c>
      <c r="H52" s="119"/>
      <c r="I52" s="119"/>
      <c r="J52" s="119"/>
      <c r="K52" s="119"/>
      <c r="L52" s="7"/>
      <c r="M52" s="7"/>
      <c r="N52" s="119">
        <f>H52+L52+M52</f>
        <v>0</v>
      </c>
      <c r="O52" s="907" t="s">
        <v>232</v>
      </c>
      <c r="P52" s="536" t="s">
        <v>62</v>
      </c>
      <c r="Q52" s="911">
        <v>1</v>
      </c>
      <c r="R52" s="911">
        <v>1</v>
      </c>
      <c r="S52" s="911">
        <v>2</v>
      </c>
      <c r="T52" s="922"/>
    </row>
    <row r="53" spans="1:20" ht="6" customHeight="1" x14ac:dyDescent="0.2">
      <c r="A53" s="456"/>
      <c r="B53" s="443"/>
      <c r="C53" s="444"/>
      <c r="D53" s="529"/>
      <c r="E53" s="540"/>
      <c r="F53" s="543"/>
      <c r="G53" s="126" t="s">
        <v>23</v>
      </c>
      <c r="H53" s="123">
        <f>SUM(H50:H52)</f>
        <v>0</v>
      </c>
      <c r="I53" s="123">
        <f t="shared" ref="I53:N53" si="20">SUM(I50:I52)</f>
        <v>0</v>
      </c>
      <c r="J53" s="123">
        <f t="shared" si="20"/>
        <v>0</v>
      </c>
      <c r="K53" s="123">
        <f t="shared" si="20"/>
        <v>0</v>
      </c>
      <c r="L53" s="123">
        <f t="shared" si="20"/>
        <v>0</v>
      </c>
      <c r="M53" s="123">
        <f t="shared" si="20"/>
        <v>0</v>
      </c>
      <c r="N53" s="123">
        <f t="shared" si="20"/>
        <v>0</v>
      </c>
      <c r="O53" s="908"/>
      <c r="P53" s="537"/>
      <c r="Q53" s="912"/>
      <c r="R53" s="912"/>
      <c r="S53" s="912"/>
      <c r="T53" s="920"/>
    </row>
    <row r="54" spans="1:20" x14ac:dyDescent="0.2">
      <c r="A54" s="27" t="s">
        <v>50</v>
      </c>
      <c r="B54" s="32" t="s">
        <v>46</v>
      </c>
      <c r="C54" s="424" t="s">
        <v>233</v>
      </c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  <c r="O54" s="425"/>
      <c r="P54" s="425"/>
      <c r="Q54" s="425"/>
      <c r="R54" s="425"/>
      <c r="S54" s="425"/>
      <c r="T54" s="426"/>
    </row>
    <row r="55" spans="1:20" ht="12.75" x14ac:dyDescent="0.2">
      <c r="A55" s="456" t="s">
        <v>50</v>
      </c>
      <c r="B55" s="443" t="s">
        <v>46</v>
      </c>
      <c r="C55" s="444" t="s">
        <v>36</v>
      </c>
      <c r="D55" s="432" t="s">
        <v>234</v>
      </c>
      <c r="E55" s="540" t="s">
        <v>114</v>
      </c>
      <c r="F55" s="541">
        <v>188718713</v>
      </c>
      <c r="G55" s="130" t="s">
        <v>95</v>
      </c>
      <c r="H55" s="119">
        <v>22.5</v>
      </c>
      <c r="I55" s="119">
        <v>19.600000000000001</v>
      </c>
      <c r="J55" s="119">
        <v>19.2</v>
      </c>
      <c r="K55" s="119"/>
      <c r="L55" s="7">
        <f>H55*1.05</f>
        <v>23.625</v>
      </c>
      <c r="M55" s="7">
        <f>L55*1.05</f>
        <v>24.806250000000002</v>
      </c>
      <c r="N55" s="119">
        <f>H55+L55+M55</f>
        <v>70.931250000000006</v>
      </c>
      <c r="O55" s="903" t="s">
        <v>235</v>
      </c>
      <c r="P55" s="536" t="s">
        <v>62</v>
      </c>
      <c r="Q55" s="536">
        <v>11</v>
      </c>
      <c r="R55" s="536">
        <v>12</v>
      </c>
      <c r="S55" s="536">
        <v>12</v>
      </c>
      <c r="T55" s="921" t="s">
        <v>187</v>
      </c>
    </row>
    <row r="56" spans="1:20" ht="40.5" customHeight="1" x14ac:dyDescent="0.2">
      <c r="A56" s="456"/>
      <c r="B56" s="443"/>
      <c r="C56" s="444"/>
      <c r="D56" s="432"/>
      <c r="E56" s="540"/>
      <c r="F56" s="543"/>
      <c r="G56" s="126" t="s">
        <v>23</v>
      </c>
      <c r="H56" s="123">
        <f t="shared" ref="H56:M56" si="21">+H55</f>
        <v>22.5</v>
      </c>
      <c r="I56" s="123">
        <f t="shared" si="21"/>
        <v>19.600000000000001</v>
      </c>
      <c r="J56" s="123">
        <f t="shared" si="21"/>
        <v>19.2</v>
      </c>
      <c r="K56" s="123">
        <f t="shared" si="21"/>
        <v>0</v>
      </c>
      <c r="L56" s="123">
        <f t="shared" si="21"/>
        <v>23.625</v>
      </c>
      <c r="M56" s="123">
        <f t="shared" si="21"/>
        <v>24.806250000000002</v>
      </c>
      <c r="N56" s="123">
        <f>H56+L56+M56</f>
        <v>70.931250000000006</v>
      </c>
      <c r="O56" s="904"/>
      <c r="P56" s="537"/>
      <c r="Q56" s="537"/>
      <c r="R56" s="537"/>
      <c r="S56" s="537"/>
      <c r="T56" s="921"/>
    </row>
    <row r="57" spans="1:20" ht="12.75" x14ac:dyDescent="0.2">
      <c r="A57" s="559" t="s">
        <v>236</v>
      </c>
      <c r="B57" s="560"/>
      <c r="C57" s="560"/>
      <c r="D57" s="560"/>
      <c r="E57" s="560"/>
      <c r="F57" s="560"/>
      <c r="G57" s="561"/>
      <c r="H57" s="133">
        <f t="shared" ref="H57:N57" si="22">+SUM(H58:H65)</f>
        <v>24609.699999999997</v>
      </c>
      <c r="I57" s="133" t="e">
        <f t="shared" si="22"/>
        <v>#REF!</v>
      </c>
      <c r="J57" s="133" t="e">
        <f t="shared" si="22"/>
        <v>#REF!</v>
      </c>
      <c r="K57" s="133" t="e">
        <f t="shared" si="22"/>
        <v>#REF!</v>
      </c>
      <c r="L57" s="133">
        <f t="shared" si="22"/>
        <v>25840.185000000001</v>
      </c>
      <c r="M57" s="133">
        <f t="shared" si="22"/>
        <v>27132.194250000008</v>
      </c>
      <c r="N57" s="133">
        <f t="shared" si="22"/>
        <v>77582.07925000001</v>
      </c>
      <c r="O57" s="133"/>
      <c r="P57" s="133"/>
      <c r="Q57" s="133"/>
      <c r="R57" s="133"/>
      <c r="S57" s="133"/>
      <c r="T57" s="923"/>
    </row>
    <row r="58" spans="1:20" ht="12.75" x14ac:dyDescent="0.2">
      <c r="A58" s="556"/>
      <c r="B58" s="557"/>
      <c r="C58" s="557"/>
      <c r="D58" s="557"/>
      <c r="E58" s="557"/>
      <c r="F58" s="558"/>
      <c r="G58" s="34" t="s">
        <v>40</v>
      </c>
      <c r="H58" s="8">
        <f>+H8+H12+H18+H32+H36+H30+H23+H47</f>
        <v>9250</v>
      </c>
      <c r="I58" s="8" t="e">
        <f>+I8+I12+I18+I32+I36+I30+#REF!+I23+I47</f>
        <v>#REF!</v>
      </c>
      <c r="J58" s="8" t="e">
        <f>+J8+J12+J18+J32+J36+J30+#REF!+J23+J47</f>
        <v>#REF!</v>
      </c>
      <c r="K58" s="8" t="e">
        <f>+K8+K12+K18+K32+K36+K30+#REF!+K23+K47</f>
        <v>#REF!</v>
      </c>
      <c r="L58" s="8">
        <f>+L8+L12+L18+L32+L36+L30+L23+L47</f>
        <v>9712.5</v>
      </c>
      <c r="M58" s="8">
        <f>+M8+M12+M18+M32+M36+M30+M23+M47</f>
        <v>10198.125000000002</v>
      </c>
      <c r="N58" s="8">
        <f>+N8+N12+N18+N32+N36+N30+N23+N47</f>
        <v>29160.625</v>
      </c>
      <c r="O58" s="8"/>
      <c r="P58" s="8"/>
      <c r="Q58" s="8"/>
      <c r="R58" s="8"/>
      <c r="S58" s="8"/>
      <c r="T58" s="924"/>
    </row>
    <row r="59" spans="1:20" ht="12.75" x14ac:dyDescent="0.2">
      <c r="A59" s="556"/>
      <c r="B59" s="557"/>
      <c r="C59" s="557"/>
      <c r="D59" s="557"/>
      <c r="E59" s="557"/>
      <c r="F59" s="558"/>
      <c r="G59" s="34" t="s">
        <v>53</v>
      </c>
      <c r="H59" s="8">
        <f t="shared" ref="H59:N59" si="23">+H10+H14+H20+H33+H48</f>
        <v>522.1</v>
      </c>
      <c r="I59" s="8">
        <f t="shared" si="23"/>
        <v>461.6</v>
      </c>
      <c r="J59" s="8">
        <f t="shared" si="23"/>
        <v>0</v>
      </c>
      <c r="K59" s="8">
        <f t="shared" si="23"/>
        <v>7</v>
      </c>
      <c r="L59" s="8">
        <f t="shared" si="23"/>
        <v>548.20500000000004</v>
      </c>
      <c r="M59" s="8">
        <f t="shared" si="23"/>
        <v>575.61524999999995</v>
      </c>
      <c r="N59" s="8">
        <f t="shared" si="23"/>
        <v>1645.9202499999999</v>
      </c>
      <c r="O59" s="8"/>
      <c r="P59" s="8"/>
      <c r="Q59" s="8"/>
      <c r="R59" s="8"/>
      <c r="S59" s="8"/>
      <c r="T59" s="924"/>
    </row>
    <row r="60" spans="1:20" ht="15" customHeight="1" x14ac:dyDescent="0.2">
      <c r="A60" s="556"/>
      <c r="B60" s="557"/>
      <c r="C60" s="557"/>
      <c r="D60" s="557"/>
      <c r="E60" s="557"/>
      <c r="F60" s="558"/>
      <c r="G60" s="34" t="s">
        <v>95</v>
      </c>
      <c r="H60" s="8">
        <f t="shared" ref="H60:N60" si="24">+H9+H13+H16+H22+H34+H46+H55</f>
        <v>14837.599999999999</v>
      </c>
      <c r="I60" s="8">
        <f t="shared" si="24"/>
        <v>13442.599999999999</v>
      </c>
      <c r="J60" s="8">
        <f t="shared" si="24"/>
        <v>12741</v>
      </c>
      <c r="K60" s="8">
        <f t="shared" si="24"/>
        <v>10</v>
      </c>
      <c r="L60" s="8">
        <f t="shared" si="24"/>
        <v>15579.480000000001</v>
      </c>
      <c r="M60" s="8">
        <f t="shared" si="24"/>
        <v>16358.454000000003</v>
      </c>
      <c r="N60" s="8">
        <f t="shared" si="24"/>
        <v>46775.534000000014</v>
      </c>
      <c r="O60" s="8"/>
      <c r="P60" s="8"/>
      <c r="Q60" s="8"/>
      <c r="R60" s="8"/>
      <c r="S60" s="8"/>
      <c r="T60" s="924"/>
    </row>
    <row r="61" spans="1:20" ht="12.75" x14ac:dyDescent="0.2">
      <c r="A61" s="135"/>
      <c r="B61" s="136"/>
      <c r="C61" s="136"/>
      <c r="D61" s="136"/>
      <c r="E61" s="136"/>
      <c r="F61" s="137"/>
      <c r="G61" s="34" t="s">
        <v>237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/>
      <c r="P61" s="4"/>
      <c r="Q61" s="4"/>
      <c r="R61" s="4"/>
      <c r="S61" s="4"/>
      <c r="T61" s="924"/>
    </row>
    <row r="62" spans="1:20" ht="12.75" x14ac:dyDescent="0.2">
      <c r="A62" s="135"/>
      <c r="B62" s="136"/>
      <c r="C62" s="136"/>
      <c r="D62" s="136"/>
      <c r="E62" s="136"/>
      <c r="F62" s="137"/>
      <c r="G62" s="34" t="s">
        <v>179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/>
      <c r="P62" s="4"/>
      <c r="Q62" s="4"/>
      <c r="R62" s="4"/>
      <c r="S62" s="4"/>
      <c r="T62" s="924"/>
    </row>
    <row r="63" spans="1:20" ht="12.75" x14ac:dyDescent="0.2">
      <c r="A63" s="135"/>
      <c r="B63" s="136"/>
      <c r="C63" s="136"/>
      <c r="D63" s="136"/>
      <c r="E63" s="136"/>
      <c r="F63" s="137"/>
      <c r="G63" s="34" t="s">
        <v>238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/>
      <c r="P63" s="4"/>
      <c r="Q63" s="4"/>
      <c r="R63" s="4"/>
      <c r="S63" s="4"/>
      <c r="T63" s="924"/>
    </row>
    <row r="64" spans="1:20" ht="12.75" x14ac:dyDescent="0.2">
      <c r="A64" s="135"/>
      <c r="B64" s="136"/>
      <c r="C64" s="136"/>
      <c r="D64" s="136"/>
      <c r="E64" s="136"/>
      <c r="F64" s="137"/>
      <c r="G64" s="34" t="s">
        <v>141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/>
      <c r="P64" s="4"/>
      <c r="Q64" s="4"/>
      <c r="R64" s="4"/>
      <c r="S64" s="4"/>
      <c r="T64" s="924"/>
    </row>
    <row r="65" spans="1:20" ht="12.75" x14ac:dyDescent="0.2">
      <c r="A65" s="556"/>
      <c r="B65" s="557"/>
      <c r="C65" s="557"/>
      <c r="D65" s="557"/>
      <c r="E65" s="557"/>
      <c r="F65" s="558"/>
      <c r="G65" s="34" t="s">
        <v>144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/>
      <c r="P65" s="4"/>
      <c r="Q65" s="4"/>
      <c r="R65" s="4"/>
      <c r="S65" s="4"/>
      <c r="T65" s="924"/>
    </row>
    <row r="68" spans="1:20" x14ac:dyDescent="0.2">
      <c r="J68" s="140"/>
      <c r="O68" s="140"/>
      <c r="P68" s="140"/>
      <c r="Q68" s="140"/>
      <c r="R68" s="140"/>
      <c r="S68" s="140"/>
    </row>
    <row r="70" spans="1:20" x14ac:dyDescent="0.2">
      <c r="H70" s="140"/>
    </row>
  </sheetData>
  <mergeCells count="210">
    <mergeCell ref="A50:A53"/>
    <mergeCell ref="B50:B53"/>
    <mergeCell ref="C50:C53"/>
    <mergeCell ref="D50:D53"/>
    <mergeCell ref="E50:E53"/>
    <mergeCell ref="F50:F53"/>
    <mergeCell ref="A59:F59"/>
    <mergeCell ref="A60:F60"/>
    <mergeCell ref="A65:F65"/>
    <mergeCell ref="A57:G57"/>
    <mergeCell ref="A58:F58"/>
    <mergeCell ref="C54:T54"/>
    <mergeCell ref="A55:A56"/>
    <mergeCell ref="B55:B56"/>
    <mergeCell ref="C55:C56"/>
    <mergeCell ref="D55:D56"/>
    <mergeCell ref="E55:E56"/>
    <mergeCell ref="F55:F56"/>
    <mergeCell ref="O55:O56"/>
    <mergeCell ref="P55:P56"/>
    <mergeCell ref="Q55:Q56"/>
    <mergeCell ref="R55:R56"/>
    <mergeCell ref="S55:S56"/>
    <mergeCell ref="T55:T56"/>
    <mergeCell ref="O50:O51"/>
    <mergeCell ref="P50:P51"/>
    <mergeCell ref="Q50:Q51"/>
    <mergeCell ref="R50:R51"/>
    <mergeCell ref="S50:S51"/>
    <mergeCell ref="T50:T53"/>
    <mergeCell ref="O52:O53"/>
    <mergeCell ref="P52:P53"/>
    <mergeCell ref="Q52:Q53"/>
    <mergeCell ref="R52:R53"/>
    <mergeCell ref="S52:S53"/>
    <mergeCell ref="C45:T45"/>
    <mergeCell ref="A46:A49"/>
    <mergeCell ref="B46:B49"/>
    <mergeCell ref="C46:C49"/>
    <mergeCell ref="D46:D49"/>
    <mergeCell ref="E46:E49"/>
    <mergeCell ref="F46:F49"/>
    <mergeCell ref="O46:O47"/>
    <mergeCell ref="P46:P47"/>
    <mergeCell ref="Q46:Q47"/>
    <mergeCell ref="R46:R47"/>
    <mergeCell ref="S46:S47"/>
    <mergeCell ref="T46:T49"/>
    <mergeCell ref="O48:O49"/>
    <mergeCell ref="P48:P49"/>
    <mergeCell ref="Q48:Q49"/>
    <mergeCell ref="R48:R49"/>
    <mergeCell ref="S48:S49"/>
    <mergeCell ref="C41:T41"/>
    <mergeCell ref="A42:A43"/>
    <mergeCell ref="B42:B43"/>
    <mergeCell ref="C42:C43"/>
    <mergeCell ref="D42:D43"/>
    <mergeCell ref="E42:E43"/>
    <mergeCell ref="F42:F43"/>
    <mergeCell ref="T42:T43"/>
    <mergeCell ref="B44:T44"/>
    <mergeCell ref="C38:T38"/>
    <mergeCell ref="R36:R37"/>
    <mergeCell ref="S36:S37"/>
    <mergeCell ref="T36:T37"/>
    <mergeCell ref="S34:S35"/>
    <mergeCell ref="A39:A40"/>
    <mergeCell ref="B39:B40"/>
    <mergeCell ref="C39:C40"/>
    <mergeCell ref="D39:D40"/>
    <mergeCell ref="E39:E40"/>
    <mergeCell ref="F39:F40"/>
    <mergeCell ref="T39:T40"/>
    <mergeCell ref="F32:F35"/>
    <mergeCell ref="O32:O33"/>
    <mergeCell ref="P32:P33"/>
    <mergeCell ref="T30:T31"/>
    <mergeCell ref="A36:A37"/>
    <mergeCell ref="B36:B37"/>
    <mergeCell ref="C36:C37"/>
    <mergeCell ref="D36:D37"/>
    <mergeCell ref="E36:E37"/>
    <mergeCell ref="F36:F37"/>
    <mergeCell ref="O36:O37"/>
    <mergeCell ref="P36:P37"/>
    <mergeCell ref="Q36:Q37"/>
    <mergeCell ref="Q32:Q33"/>
    <mergeCell ref="R32:R33"/>
    <mergeCell ref="S32:S33"/>
    <mergeCell ref="T32:T35"/>
    <mergeCell ref="O34:O35"/>
    <mergeCell ref="P34:P35"/>
    <mergeCell ref="Q34:Q35"/>
    <mergeCell ref="R34:R35"/>
    <mergeCell ref="A32:A35"/>
    <mergeCell ref="B32:B35"/>
    <mergeCell ref="C32:C35"/>
    <mergeCell ref="D32:D35"/>
    <mergeCell ref="E32:E35"/>
    <mergeCell ref="C29:T29"/>
    <mergeCell ref="A30:A31"/>
    <mergeCell ref="B30:B31"/>
    <mergeCell ref="C30:C31"/>
    <mergeCell ref="D30:D31"/>
    <mergeCell ref="E30:E31"/>
    <mergeCell ref="R22:R24"/>
    <mergeCell ref="S22:S24"/>
    <mergeCell ref="T22:T24"/>
    <mergeCell ref="C25:T25"/>
    <mergeCell ref="C22:C24"/>
    <mergeCell ref="D22:D24"/>
    <mergeCell ref="E22:E24"/>
    <mergeCell ref="F22:F24"/>
    <mergeCell ref="Q22:Q24"/>
    <mergeCell ref="A22:A24"/>
    <mergeCell ref="B22:B24"/>
    <mergeCell ref="A26:A27"/>
    <mergeCell ref="B26:B27"/>
    <mergeCell ref="C26:C27"/>
    <mergeCell ref="D26:D27"/>
    <mergeCell ref="E26:E27"/>
    <mergeCell ref="F26:F27"/>
    <mergeCell ref="F30:F31"/>
    <mergeCell ref="O26:O27"/>
    <mergeCell ref="P26:P27"/>
    <mergeCell ref="Q26:Q27"/>
    <mergeCell ref="R26:R27"/>
    <mergeCell ref="S26:S27"/>
    <mergeCell ref="T26:T27"/>
    <mergeCell ref="O22:O24"/>
    <mergeCell ref="P22:P24"/>
    <mergeCell ref="B28:T28"/>
    <mergeCell ref="T18:T19"/>
    <mergeCell ref="A20:A21"/>
    <mergeCell ref="B20:B21"/>
    <mergeCell ref="C20:C21"/>
    <mergeCell ref="D20:D21"/>
    <mergeCell ref="E20:E21"/>
    <mergeCell ref="F20:F21"/>
    <mergeCell ref="O20:O21"/>
    <mergeCell ref="P20:P21"/>
    <mergeCell ref="Q20:Q21"/>
    <mergeCell ref="A18:A19"/>
    <mergeCell ref="B18:B19"/>
    <mergeCell ref="C18:C19"/>
    <mergeCell ref="D18:D19"/>
    <mergeCell ref="E18:E19"/>
    <mergeCell ref="F18:F19"/>
    <mergeCell ref="R20:R21"/>
    <mergeCell ref="S20:S21"/>
    <mergeCell ref="T20:T21"/>
    <mergeCell ref="O16:O17"/>
    <mergeCell ref="P16:P17"/>
    <mergeCell ref="Q16:Q17"/>
    <mergeCell ref="R16:R17"/>
    <mergeCell ref="S16:S17"/>
    <mergeCell ref="T16:T17"/>
    <mergeCell ref="A16:A17"/>
    <mergeCell ref="B16:B17"/>
    <mergeCell ref="C16:C17"/>
    <mergeCell ref="D16:D17"/>
    <mergeCell ref="E16:E17"/>
    <mergeCell ref="F16:F17"/>
    <mergeCell ref="O12:O13"/>
    <mergeCell ref="P12:P13"/>
    <mergeCell ref="Q12:Q13"/>
    <mergeCell ref="R12:R13"/>
    <mergeCell ref="S12:S13"/>
    <mergeCell ref="T12:T15"/>
    <mergeCell ref="A12:A15"/>
    <mergeCell ref="B12:B15"/>
    <mergeCell ref="C12:C15"/>
    <mergeCell ref="D12:D15"/>
    <mergeCell ref="E12:E15"/>
    <mergeCell ref="F12:F15"/>
    <mergeCell ref="P10:P11"/>
    <mergeCell ref="Q10:Q11"/>
    <mergeCell ref="R10:R11"/>
    <mergeCell ref="S10:S11"/>
    <mergeCell ref="F8:F11"/>
    <mergeCell ref="O8:O9"/>
    <mergeCell ref="P8:P9"/>
    <mergeCell ref="Q8:Q9"/>
    <mergeCell ref="R8:R9"/>
    <mergeCell ref="S8:S9"/>
    <mergeCell ref="T2:T4"/>
    <mergeCell ref="H3:H4"/>
    <mergeCell ref="I3:K3"/>
    <mergeCell ref="Q3:S3"/>
    <mergeCell ref="C7:T7"/>
    <mergeCell ref="A8:A11"/>
    <mergeCell ref="B8:B11"/>
    <mergeCell ref="C8:C11"/>
    <mergeCell ref="D8:D11"/>
    <mergeCell ref="E8:E11"/>
    <mergeCell ref="G2:G4"/>
    <mergeCell ref="H2:K2"/>
    <mergeCell ref="L2:L4"/>
    <mergeCell ref="M2:M4"/>
    <mergeCell ref="N2:N4"/>
    <mergeCell ref="O2:S2"/>
    <mergeCell ref="A2:A4"/>
    <mergeCell ref="B2:B4"/>
    <mergeCell ref="C2:C4"/>
    <mergeCell ref="D2:D4"/>
    <mergeCell ref="E2:E4"/>
    <mergeCell ref="F2:F4"/>
    <mergeCell ref="T8:T11"/>
    <mergeCell ref="O10:O11"/>
  </mergeCells>
  <pageMargins left="0.51181102362204722" right="0.70866141732283472" top="0.35433070866141736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534EB-3C28-4AF7-91B2-D44FAB2C7964}">
  <dimension ref="A2:Z287"/>
  <sheetViews>
    <sheetView topLeftCell="A21" workbookViewId="0">
      <selection activeCell="S31" sqref="S31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35.85546875" style="15" customWidth="1"/>
    <col min="5" max="5" width="4.42578125" style="138" customWidth="1"/>
    <col min="6" max="6" width="14" style="15" customWidth="1"/>
    <col min="7" max="7" width="7" style="26" customWidth="1" outlineLevel="1"/>
    <col min="8" max="8" width="10.5703125" style="20" customWidth="1" outlineLevel="1"/>
    <col min="9" max="9" width="8.85546875" style="20" hidden="1" customWidth="1" outlineLevel="1"/>
    <col min="10" max="10" width="7" style="20" hidden="1" customWidth="1" outlineLevel="1"/>
    <col min="11" max="11" width="8.5703125" style="20" hidden="1" customWidth="1" outlineLevel="1"/>
    <col min="12" max="12" width="10" style="20" customWidth="1" outlineLevel="1"/>
    <col min="13" max="13" width="10.42578125" style="20" customWidth="1" outlineLevel="1"/>
    <col min="14" max="14" width="12.42578125" style="20" customWidth="1" outlineLevel="1"/>
    <col min="15" max="15" width="30.85546875" style="20" customWidth="1"/>
    <col min="16" max="16" width="8.140625" style="20" customWidth="1"/>
    <col min="17" max="18" width="7.140625" style="20" customWidth="1"/>
    <col min="19" max="19" width="7.85546875" style="20" customWidth="1"/>
    <col min="20" max="20" width="18.140625" style="141" customWidth="1"/>
    <col min="21" max="21" width="26.5703125" style="111" customWidth="1"/>
    <col min="22" max="16384" width="9.140625" style="20"/>
  </cols>
  <sheetData>
    <row r="2" spans="1:21" ht="12.75" customHeight="1" x14ac:dyDescent="0.25">
      <c r="A2" s="489" t="s">
        <v>13</v>
      </c>
      <c r="B2" s="489" t="s">
        <v>14</v>
      </c>
      <c r="C2" s="490" t="s">
        <v>15</v>
      </c>
      <c r="D2" s="397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530" t="s">
        <v>23</v>
      </c>
      <c r="O2" s="475" t="s">
        <v>24</v>
      </c>
      <c r="P2" s="475"/>
      <c r="Q2" s="475"/>
      <c r="R2" s="475"/>
      <c r="S2" s="475"/>
      <c r="T2" s="469" t="s">
        <v>25</v>
      </c>
    </row>
    <row r="3" spans="1:21" ht="15" customHeight="1" x14ac:dyDescent="0.2">
      <c r="A3" s="489"/>
      <c r="B3" s="489"/>
      <c r="C3" s="490"/>
      <c r="D3" s="457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531"/>
      <c r="O3" s="71"/>
      <c r="P3" s="67"/>
      <c r="Q3" s="475" t="s">
        <v>27</v>
      </c>
      <c r="R3" s="475"/>
      <c r="S3" s="475"/>
      <c r="T3" s="470"/>
    </row>
    <row r="4" spans="1:21" ht="53.1" customHeight="1" x14ac:dyDescent="0.2">
      <c r="A4" s="489"/>
      <c r="B4" s="489"/>
      <c r="C4" s="490"/>
      <c r="D4" s="398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53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471"/>
      <c r="U4" s="112"/>
    </row>
    <row r="5" spans="1:21" ht="14.25" x14ac:dyDescent="0.2">
      <c r="A5" s="113" t="s">
        <v>239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5"/>
    </row>
    <row r="6" spans="1:21" ht="14.25" customHeight="1" x14ac:dyDescent="0.2">
      <c r="A6" s="115" t="s">
        <v>36</v>
      </c>
      <c r="B6" s="116" t="s">
        <v>240</v>
      </c>
      <c r="C6" s="29"/>
      <c r="D6" s="116"/>
      <c r="E6" s="29"/>
      <c r="F6" s="29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</row>
    <row r="7" spans="1:21" ht="14.25" customHeight="1" x14ac:dyDescent="0.2">
      <c r="A7" s="142" t="s">
        <v>36</v>
      </c>
      <c r="B7" s="103" t="s">
        <v>36</v>
      </c>
      <c r="C7" s="424" t="s">
        <v>241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</row>
    <row r="8" spans="1:21" ht="12.75" x14ac:dyDescent="0.2">
      <c r="A8" s="404" t="s">
        <v>36</v>
      </c>
      <c r="B8" s="406" t="s">
        <v>36</v>
      </c>
      <c r="C8" s="408" t="s">
        <v>50</v>
      </c>
      <c r="D8" s="562" t="s">
        <v>242</v>
      </c>
      <c r="E8" s="564" t="s">
        <v>59</v>
      </c>
      <c r="F8" s="397">
        <v>188718713</v>
      </c>
      <c r="G8" s="143" t="s">
        <v>40</v>
      </c>
      <c r="H8" s="131">
        <v>25</v>
      </c>
      <c r="I8" s="131"/>
      <c r="J8" s="131"/>
      <c r="K8" s="131"/>
      <c r="L8" s="7">
        <f>+(H8*0.05)+H8</f>
        <v>26.25</v>
      </c>
      <c r="M8" s="7">
        <f>L8*1.05</f>
        <v>27.5625</v>
      </c>
      <c r="N8" s="351">
        <f>SUM(H8:M8)</f>
        <v>78.8125</v>
      </c>
      <c r="O8" s="576" t="s">
        <v>243</v>
      </c>
      <c r="P8" s="569" t="s">
        <v>45</v>
      </c>
      <c r="Q8" s="569">
        <v>10</v>
      </c>
      <c r="R8" s="569">
        <v>10</v>
      </c>
      <c r="S8" s="569">
        <v>10</v>
      </c>
      <c r="T8" s="571" t="s">
        <v>244</v>
      </c>
      <c r="U8" s="573"/>
    </row>
    <row r="9" spans="1:21" ht="12.75" x14ac:dyDescent="0.2">
      <c r="A9" s="405"/>
      <c r="B9" s="407"/>
      <c r="C9" s="409"/>
      <c r="D9" s="563"/>
      <c r="E9" s="565"/>
      <c r="F9" s="398"/>
      <c r="G9" s="145" t="s">
        <v>23</v>
      </c>
      <c r="H9" s="146">
        <f>+H8</f>
        <v>25</v>
      </c>
      <c r="I9" s="146">
        <f t="shared" ref="I9:N9" si="0">+I8</f>
        <v>0</v>
      </c>
      <c r="J9" s="146">
        <f t="shared" si="0"/>
        <v>0</v>
      </c>
      <c r="K9" s="146">
        <f t="shared" si="0"/>
        <v>0</v>
      </c>
      <c r="L9" s="147">
        <f t="shared" si="0"/>
        <v>26.25</v>
      </c>
      <c r="M9" s="147">
        <f t="shared" si="0"/>
        <v>27.5625</v>
      </c>
      <c r="N9" s="352">
        <f t="shared" si="0"/>
        <v>78.8125</v>
      </c>
      <c r="O9" s="577"/>
      <c r="P9" s="570"/>
      <c r="Q9" s="570"/>
      <c r="R9" s="570"/>
      <c r="S9" s="570"/>
      <c r="T9" s="572"/>
      <c r="U9" s="573"/>
    </row>
    <row r="10" spans="1:21" ht="12.75" x14ac:dyDescent="0.2">
      <c r="A10" s="404" t="s">
        <v>36</v>
      </c>
      <c r="B10" s="406" t="s">
        <v>36</v>
      </c>
      <c r="C10" s="408" t="s">
        <v>55</v>
      </c>
      <c r="D10" s="574" t="s">
        <v>245</v>
      </c>
      <c r="E10" s="564" t="s">
        <v>59</v>
      </c>
      <c r="F10" s="397">
        <v>188718713</v>
      </c>
      <c r="G10" s="143" t="s">
        <v>40</v>
      </c>
      <c r="H10" s="131">
        <v>148</v>
      </c>
      <c r="I10" s="131"/>
      <c r="J10" s="131"/>
      <c r="K10" s="131"/>
      <c r="L10" s="7">
        <f>+(H10*0.05)+H10</f>
        <v>155.4</v>
      </c>
      <c r="M10" s="7">
        <f>L10*1.05</f>
        <v>163.17000000000002</v>
      </c>
      <c r="N10" s="144">
        <f>SUM(H10:M10)</f>
        <v>466.57</v>
      </c>
      <c r="O10" s="576" t="s">
        <v>246</v>
      </c>
      <c r="P10" s="569" t="s">
        <v>45</v>
      </c>
      <c r="Q10" s="569">
        <v>1</v>
      </c>
      <c r="R10" s="569">
        <v>1</v>
      </c>
      <c r="S10" s="569">
        <v>1</v>
      </c>
      <c r="T10" s="571" t="s">
        <v>244</v>
      </c>
      <c r="U10" s="573"/>
    </row>
    <row r="11" spans="1:21" ht="55.5" customHeight="1" x14ac:dyDescent="0.2">
      <c r="A11" s="405"/>
      <c r="B11" s="407"/>
      <c r="C11" s="409"/>
      <c r="D11" s="575"/>
      <c r="E11" s="565"/>
      <c r="F11" s="398"/>
      <c r="G11" s="145" t="s">
        <v>23</v>
      </c>
      <c r="H11" s="146">
        <f>+H10</f>
        <v>148</v>
      </c>
      <c r="I11" s="146">
        <f t="shared" ref="I11:N11" si="1">+I10</f>
        <v>0</v>
      </c>
      <c r="J11" s="146">
        <f t="shared" si="1"/>
        <v>0</v>
      </c>
      <c r="K11" s="146">
        <f t="shared" si="1"/>
        <v>0</v>
      </c>
      <c r="L11" s="147">
        <f t="shared" si="1"/>
        <v>155.4</v>
      </c>
      <c r="M11" s="147">
        <f t="shared" si="1"/>
        <v>163.17000000000002</v>
      </c>
      <c r="N11" s="146">
        <f t="shared" si="1"/>
        <v>466.57</v>
      </c>
      <c r="O11" s="577"/>
      <c r="P11" s="570"/>
      <c r="Q11" s="570"/>
      <c r="R11" s="570"/>
      <c r="S11" s="570"/>
      <c r="T11" s="572"/>
      <c r="U11" s="573"/>
    </row>
    <row r="12" spans="1:21" ht="14.25" customHeight="1" x14ac:dyDescent="0.2">
      <c r="A12" s="102" t="s">
        <v>36</v>
      </c>
      <c r="B12" s="103" t="s">
        <v>46</v>
      </c>
      <c r="C12" s="424" t="s">
        <v>247</v>
      </c>
      <c r="D12" s="425"/>
      <c r="E12" s="425"/>
      <c r="F12" s="425"/>
      <c r="G12" s="425"/>
      <c r="H12" s="425"/>
      <c r="I12" s="425"/>
      <c r="J12" s="425"/>
      <c r="K12" s="425"/>
      <c r="L12" s="425"/>
      <c r="M12" s="425"/>
      <c r="N12" s="425"/>
      <c r="O12" s="425"/>
      <c r="P12" s="425"/>
      <c r="Q12" s="425"/>
      <c r="R12" s="425"/>
      <c r="S12" s="425"/>
      <c r="T12" s="426"/>
    </row>
    <row r="13" spans="1:21" ht="12.75" customHeight="1" x14ac:dyDescent="0.2">
      <c r="A13" s="404" t="s">
        <v>36</v>
      </c>
      <c r="B13" s="443" t="s">
        <v>46</v>
      </c>
      <c r="C13" s="408" t="s">
        <v>50</v>
      </c>
      <c r="D13" s="546" t="s">
        <v>248</v>
      </c>
      <c r="E13" s="544" t="s">
        <v>59</v>
      </c>
      <c r="F13" s="397">
        <v>304159095</v>
      </c>
      <c r="G13" s="148" t="s">
        <v>95</v>
      </c>
      <c r="H13" s="149">
        <v>333.6</v>
      </c>
      <c r="I13" s="119"/>
      <c r="J13" s="119"/>
      <c r="K13" s="119"/>
      <c r="L13" s="7">
        <f>+(H13*0.05)+H13</f>
        <v>350.28000000000003</v>
      </c>
      <c r="M13" s="7">
        <f t="shared" ref="M13:M14" si="2">L13*1.05</f>
        <v>367.79400000000004</v>
      </c>
      <c r="N13" s="144">
        <f>SUM(H13:M13)</f>
        <v>1051.6740000000002</v>
      </c>
      <c r="O13" s="582" t="s">
        <v>249</v>
      </c>
      <c r="P13" s="585" t="s">
        <v>45</v>
      </c>
      <c r="Q13" s="585">
        <v>11</v>
      </c>
      <c r="R13" s="585">
        <v>11</v>
      </c>
      <c r="S13" s="585">
        <v>11</v>
      </c>
      <c r="T13" s="588" t="s">
        <v>244</v>
      </c>
      <c r="U13" s="573"/>
    </row>
    <row r="14" spans="1:21" ht="12.95" customHeight="1" x14ac:dyDescent="0.2">
      <c r="A14" s="447"/>
      <c r="B14" s="443"/>
      <c r="C14" s="427"/>
      <c r="D14" s="546"/>
      <c r="E14" s="591"/>
      <c r="F14" s="457"/>
      <c r="G14" s="148" t="s">
        <v>53</v>
      </c>
      <c r="H14" s="149">
        <v>4</v>
      </c>
      <c r="I14" s="119"/>
      <c r="J14" s="119"/>
      <c r="K14" s="119"/>
      <c r="L14" s="7">
        <f>+(H14*0.05)+H14</f>
        <v>4.2</v>
      </c>
      <c r="M14" s="7">
        <f t="shared" si="2"/>
        <v>4.41</v>
      </c>
      <c r="N14" s="144">
        <f>SUM(H14:M14)</f>
        <v>12.61</v>
      </c>
      <c r="O14" s="583"/>
      <c r="P14" s="586"/>
      <c r="Q14" s="586"/>
      <c r="R14" s="586"/>
      <c r="S14" s="586"/>
      <c r="T14" s="589"/>
      <c r="U14" s="573"/>
    </row>
    <row r="15" spans="1:21" ht="12.95" customHeight="1" x14ac:dyDescent="0.2">
      <c r="A15" s="405"/>
      <c r="B15" s="443"/>
      <c r="C15" s="409"/>
      <c r="D15" s="546"/>
      <c r="E15" s="545"/>
      <c r="F15" s="398"/>
      <c r="G15" s="150" t="s">
        <v>23</v>
      </c>
      <c r="H15" s="123">
        <f>+H13+H14</f>
        <v>337.6</v>
      </c>
      <c r="I15" s="123">
        <f t="shared" ref="I15:N15" si="3">+I13+I14</f>
        <v>0</v>
      </c>
      <c r="J15" s="123">
        <f t="shared" si="3"/>
        <v>0</v>
      </c>
      <c r="K15" s="123">
        <f t="shared" si="3"/>
        <v>0</v>
      </c>
      <c r="L15" s="123">
        <f t="shared" si="3"/>
        <v>354.48</v>
      </c>
      <c r="M15" s="123">
        <f t="shared" si="3"/>
        <v>372.20400000000006</v>
      </c>
      <c r="N15" s="123">
        <f t="shared" si="3"/>
        <v>1064.2840000000001</v>
      </c>
      <c r="O15" s="584"/>
      <c r="P15" s="587"/>
      <c r="Q15" s="587"/>
      <c r="R15" s="587"/>
      <c r="S15" s="587"/>
      <c r="T15" s="590"/>
      <c r="U15" s="573"/>
    </row>
    <row r="16" spans="1:21" x14ac:dyDescent="0.2">
      <c r="A16" s="151" t="s">
        <v>36</v>
      </c>
      <c r="B16" s="103" t="s">
        <v>50</v>
      </c>
      <c r="C16" s="424" t="s">
        <v>250</v>
      </c>
      <c r="D16" s="425"/>
      <c r="E16" s="425"/>
      <c r="F16" s="425"/>
      <c r="G16" s="425"/>
      <c r="H16" s="425"/>
      <c r="I16" s="425"/>
      <c r="J16" s="425"/>
      <c r="K16" s="425"/>
      <c r="L16" s="425"/>
      <c r="M16" s="425"/>
      <c r="N16" s="425"/>
      <c r="O16" s="425"/>
      <c r="P16" s="425"/>
      <c r="Q16" s="425"/>
      <c r="R16" s="425"/>
      <c r="S16" s="425"/>
      <c r="T16" s="426"/>
    </row>
    <row r="17" spans="1:26" ht="18.600000000000001" customHeight="1" x14ac:dyDescent="0.2">
      <c r="A17" s="404" t="s">
        <v>36</v>
      </c>
      <c r="B17" s="406" t="s">
        <v>50</v>
      </c>
      <c r="C17" s="408" t="s">
        <v>50</v>
      </c>
      <c r="D17" s="578" t="s">
        <v>251</v>
      </c>
      <c r="E17" s="544" t="s">
        <v>59</v>
      </c>
      <c r="F17" s="397">
        <v>188718713</v>
      </c>
      <c r="G17" s="152" t="s">
        <v>40</v>
      </c>
      <c r="H17" s="149">
        <v>120</v>
      </c>
      <c r="I17" s="149"/>
      <c r="J17" s="149"/>
      <c r="K17" s="149"/>
      <c r="L17" s="7">
        <f>+(H17*0.05)+H17</f>
        <v>126</v>
      </c>
      <c r="M17" s="7">
        <f>L17*1.05</f>
        <v>132.30000000000001</v>
      </c>
      <c r="N17" s="144">
        <f>SUM(H17:M17)</f>
        <v>378.3</v>
      </c>
      <c r="O17" s="105" t="s">
        <v>252</v>
      </c>
      <c r="P17" s="153" t="s">
        <v>62</v>
      </c>
      <c r="Q17" s="153">
        <v>3</v>
      </c>
      <c r="R17" s="153">
        <v>3</v>
      </c>
      <c r="S17" s="153">
        <v>3</v>
      </c>
      <c r="T17" s="580" t="s">
        <v>244</v>
      </c>
      <c r="U17" s="573"/>
    </row>
    <row r="18" spans="1:26" ht="25.5" x14ac:dyDescent="0.2">
      <c r="A18" s="405"/>
      <c r="B18" s="407"/>
      <c r="C18" s="409"/>
      <c r="D18" s="579"/>
      <c r="E18" s="545"/>
      <c r="F18" s="398"/>
      <c r="G18" s="154" t="s">
        <v>23</v>
      </c>
      <c r="H18" s="155">
        <f>+H17</f>
        <v>120</v>
      </c>
      <c r="I18" s="155">
        <f t="shared" ref="I18:N18" si="4">+I17</f>
        <v>0</v>
      </c>
      <c r="J18" s="155">
        <f t="shared" si="4"/>
        <v>0</v>
      </c>
      <c r="K18" s="155">
        <f t="shared" si="4"/>
        <v>0</v>
      </c>
      <c r="L18" s="123">
        <f t="shared" si="4"/>
        <v>126</v>
      </c>
      <c r="M18" s="123">
        <f t="shared" si="4"/>
        <v>132.30000000000001</v>
      </c>
      <c r="N18" s="155">
        <f t="shared" si="4"/>
        <v>378.3</v>
      </c>
      <c r="O18" s="105" t="s">
        <v>253</v>
      </c>
      <c r="P18" s="153" t="s">
        <v>62</v>
      </c>
      <c r="Q18" s="153">
        <v>1</v>
      </c>
      <c r="R18" s="153">
        <v>1</v>
      </c>
      <c r="S18" s="153">
        <v>1</v>
      </c>
      <c r="T18" s="581"/>
      <c r="U18" s="573"/>
    </row>
    <row r="19" spans="1:26" s="157" customFormat="1" ht="15.75" customHeight="1" x14ac:dyDescent="0.2">
      <c r="A19" s="156" t="s">
        <v>46</v>
      </c>
      <c r="B19" s="592" t="s">
        <v>254</v>
      </c>
      <c r="C19" s="593"/>
      <c r="D19" s="593"/>
      <c r="E19" s="593"/>
      <c r="F19" s="593"/>
      <c r="G19" s="593"/>
      <c r="H19" s="593"/>
      <c r="I19" s="593"/>
      <c r="J19" s="593"/>
      <c r="K19" s="593"/>
      <c r="L19" s="593"/>
      <c r="M19" s="593"/>
      <c r="N19" s="593"/>
      <c r="O19" s="593"/>
      <c r="P19" s="593"/>
      <c r="Q19" s="593"/>
      <c r="R19" s="593"/>
      <c r="S19" s="593"/>
      <c r="T19" s="594"/>
      <c r="U19" s="111"/>
      <c r="V19" s="20"/>
      <c r="W19" s="20"/>
      <c r="X19" s="20"/>
      <c r="Y19" s="20"/>
    </row>
    <row r="20" spans="1:26" s="158" customFormat="1" ht="15.75" customHeight="1" x14ac:dyDescent="0.2">
      <c r="A20" s="27" t="s">
        <v>46</v>
      </c>
      <c r="B20" s="32" t="s">
        <v>36</v>
      </c>
      <c r="C20" s="424" t="s">
        <v>255</v>
      </c>
      <c r="D20" s="425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O20" s="425"/>
      <c r="P20" s="425"/>
      <c r="Q20" s="425"/>
      <c r="R20" s="425"/>
      <c r="S20" s="425"/>
      <c r="T20" s="426"/>
      <c r="U20" s="111"/>
      <c r="V20" s="20"/>
      <c r="W20" s="20"/>
      <c r="X20" s="20"/>
      <c r="Y20" s="20"/>
    </row>
    <row r="21" spans="1:26" s="158" customFormat="1" ht="25.5" x14ac:dyDescent="0.2">
      <c r="A21" s="404" t="s">
        <v>46</v>
      </c>
      <c r="B21" s="406" t="s">
        <v>36</v>
      </c>
      <c r="C21" s="408" t="s">
        <v>36</v>
      </c>
      <c r="D21" s="397" t="s">
        <v>256</v>
      </c>
      <c r="E21" s="595" t="s">
        <v>59</v>
      </c>
      <c r="F21" s="397">
        <v>188718713</v>
      </c>
      <c r="G21" s="148" t="s">
        <v>40</v>
      </c>
      <c r="H21" s="159"/>
      <c r="I21" s="159"/>
      <c r="J21" s="159"/>
      <c r="K21" s="159"/>
      <c r="L21" s="7">
        <f>+(H21*0.05)+H21</f>
        <v>0</v>
      </c>
      <c r="M21" s="7">
        <f>+H21*0.1+H21</f>
        <v>0</v>
      </c>
      <c r="N21" s="149">
        <f>H21+L21+M21</f>
        <v>0</v>
      </c>
      <c r="O21" s="105" t="s">
        <v>257</v>
      </c>
      <c r="P21" s="153" t="s">
        <v>62</v>
      </c>
      <c r="Q21" s="153">
        <v>3</v>
      </c>
      <c r="R21" s="153">
        <v>3</v>
      </c>
      <c r="S21" s="153">
        <v>3</v>
      </c>
      <c r="T21" s="401" t="s">
        <v>244</v>
      </c>
      <c r="U21" s="573"/>
      <c r="V21" s="20"/>
      <c r="W21" s="20"/>
      <c r="X21" s="20"/>
      <c r="Y21" s="20"/>
    </row>
    <row r="22" spans="1:26" s="158" customFormat="1" ht="25.5" x14ac:dyDescent="0.2">
      <c r="A22" s="447"/>
      <c r="B22" s="448"/>
      <c r="C22" s="427"/>
      <c r="D22" s="457"/>
      <c r="E22" s="596"/>
      <c r="F22" s="457"/>
      <c r="G22" s="148"/>
      <c r="H22" s="159"/>
      <c r="I22" s="159"/>
      <c r="J22" s="159"/>
      <c r="K22" s="159"/>
      <c r="L22" s="7"/>
      <c r="M22" s="7"/>
      <c r="N22" s="149"/>
      <c r="O22" s="105" t="s">
        <v>258</v>
      </c>
      <c r="P22" s="153" t="s">
        <v>62</v>
      </c>
      <c r="Q22" s="153">
        <v>8</v>
      </c>
      <c r="R22" s="153">
        <v>8</v>
      </c>
      <c r="S22" s="153">
        <v>8</v>
      </c>
      <c r="T22" s="431"/>
      <c r="U22" s="573"/>
      <c r="V22" s="20"/>
      <c r="W22" s="20"/>
      <c r="X22" s="20"/>
      <c r="Y22" s="20"/>
    </row>
    <row r="23" spans="1:26" s="158" customFormat="1" ht="25.5" x14ac:dyDescent="0.2">
      <c r="A23" s="405"/>
      <c r="B23" s="407"/>
      <c r="C23" s="409"/>
      <c r="D23" s="398"/>
      <c r="E23" s="597"/>
      <c r="F23" s="398"/>
      <c r="G23" s="150" t="s">
        <v>23</v>
      </c>
      <c r="H23" s="123">
        <f>+H21</f>
        <v>0</v>
      </c>
      <c r="I23" s="123">
        <f t="shared" ref="I23:N23" si="5">+I21</f>
        <v>0</v>
      </c>
      <c r="J23" s="123">
        <f t="shared" si="5"/>
        <v>0</v>
      </c>
      <c r="K23" s="123">
        <f t="shared" si="5"/>
        <v>0</v>
      </c>
      <c r="L23" s="123">
        <f t="shared" si="5"/>
        <v>0</v>
      </c>
      <c r="M23" s="123">
        <f t="shared" si="5"/>
        <v>0</v>
      </c>
      <c r="N23" s="123">
        <f t="shared" si="5"/>
        <v>0</v>
      </c>
      <c r="O23" s="105" t="s">
        <v>253</v>
      </c>
      <c r="P23" s="153" t="s">
        <v>62</v>
      </c>
      <c r="Q23" s="153">
        <v>1</v>
      </c>
      <c r="R23" s="153">
        <v>1</v>
      </c>
      <c r="S23" s="153">
        <v>1</v>
      </c>
      <c r="T23" s="402"/>
      <c r="U23" s="573"/>
      <c r="V23" s="20"/>
      <c r="W23" s="20"/>
      <c r="X23" s="20"/>
      <c r="Y23" s="20"/>
    </row>
    <row r="24" spans="1:26" s="158" customFormat="1" ht="12.75" x14ac:dyDescent="0.2">
      <c r="A24" s="404" t="s">
        <v>46</v>
      </c>
      <c r="B24" s="406" t="s">
        <v>36</v>
      </c>
      <c r="C24" s="408" t="s">
        <v>50</v>
      </c>
      <c r="D24" s="598" t="s">
        <v>259</v>
      </c>
      <c r="E24" s="544" t="s">
        <v>59</v>
      </c>
      <c r="F24" s="397">
        <v>188718713</v>
      </c>
      <c r="G24" s="152" t="s">
        <v>95</v>
      </c>
      <c r="H24" s="149">
        <v>56.8</v>
      </c>
      <c r="I24" s="149"/>
      <c r="J24" s="149"/>
      <c r="K24" s="149"/>
      <c r="L24" s="7">
        <f>+(H24*0.05)+H24</f>
        <v>59.64</v>
      </c>
      <c r="M24" s="7">
        <f>L24*1.05</f>
        <v>62.622</v>
      </c>
      <c r="N24" s="351">
        <f>SUM(H24:M24)</f>
        <v>179.06200000000001</v>
      </c>
      <c r="O24" s="576" t="s">
        <v>260</v>
      </c>
      <c r="P24" s="569" t="s">
        <v>62</v>
      </c>
      <c r="Q24" s="569">
        <v>1</v>
      </c>
      <c r="R24" s="569">
        <v>1</v>
      </c>
      <c r="S24" s="569">
        <v>1</v>
      </c>
      <c r="T24" s="600" t="s">
        <v>244</v>
      </c>
      <c r="U24" s="161"/>
      <c r="V24" s="20"/>
      <c r="W24" s="20"/>
      <c r="X24" s="20"/>
      <c r="Y24" s="20"/>
    </row>
    <row r="25" spans="1:26" s="158" customFormat="1" ht="83.25" customHeight="1" x14ac:dyDescent="0.2">
      <c r="A25" s="405"/>
      <c r="B25" s="407"/>
      <c r="C25" s="409"/>
      <c r="D25" s="599"/>
      <c r="E25" s="545"/>
      <c r="F25" s="398"/>
      <c r="G25" s="154" t="s">
        <v>23</v>
      </c>
      <c r="H25" s="155">
        <f>+H24</f>
        <v>56.8</v>
      </c>
      <c r="I25" s="155">
        <f t="shared" ref="I25:N25" si="6">+I24</f>
        <v>0</v>
      </c>
      <c r="J25" s="155">
        <f t="shared" si="6"/>
        <v>0</v>
      </c>
      <c r="K25" s="155">
        <f t="shared" si="6"/>
        <v>0</v>
      </c>
      <c r="L25" s="123">
        <f t="shared" si="6"/>
        <v>59.64</v>
      </c>
      <c r="M25" s="123">
        <f t="shared" si="6"/>
        <v>62.622</v>
      </c>
      <c r="N25" s="177">
        <f t="shared" si="6"/>
        <v>179.06200000000001</v>
      </c>
      <c r="O25" s="577"/>
      <c r="P25" s="570"/>
      <c r="Q25" s="570"/>
      <c r="R25" s="570"/>
      <c r="S25" s="570"/>
      <c r="T25" s="581"/>
      <c r="U25" s="161"/>
      <c r="V25" s="20"/>
      <c r="W25" s="20"/>
      <c r="X25" s="20"/>
      <c r="Y25" s="20"/>
    </row>
    <row r="26" spans="1:26" ht="20.25" customHeight="1" x14ac:dyDescent="0.2">
      <c r="A26" s="27" t="s">
        <v>46</v>
      </c>
      <c r="B26" s="32" t="s">
        <v>46</v>
      </c>
      <c r="C26" s="424" t="s">
        <v>261</v>
      </c>
      <c r="D26" s="425"/>
      <c r="E26" s="425"/>
      <c r="F26" s="425"/>
      <c r="G26" s="425"/>
      <c r="H26" s="425"/>
      <c r="I26" s="425"/>
      <c r="J26" s="425"/>
      <c r="K26" s="425"/>
      <c r="L26" s="425"/>
      <c r="M26" s="425"/>
      <c r="N26" s="425"/>
      <c r="O26" s="425"/>
      <c r="P26" s="425"/>
      <c r="Q26" s="425"/>
      <c r="R26" s="425"/>
      <c r="S26" s="425"/>
      <c r="T26" s="426"/>
      <c r="Z26" s="158"/>
    </row>
    <row r="27" spans="1:26" ht="51" x14ac:dyDescent="0.2">
      <c r="A27" s="404" t="s">
        <v>46</v>
      </c>
      <c r="B27" s="406" t="s">
        <v>46</v>
      </c>
      <c r="C27" s="408" t="s">
        <v>36</v>
      </c>
      <c r="D27" s="601" t="s">
        <v>262</v>
      </c>
      <c r="E27" s="603" t="s">
        <v>59</v>
      </c>
      <c r="F27" s="605">
        <v>188718713</v>
      </c>
      <c r="G27" s="162" t="s">
        <v>40</v>
      </c>
      <c r="H27" s="163" t="s">
        <v>70</v>
      </c>
      <c r="I27" s="164"/>
      <c r="J27" s="163"/>
      <c r="K27" s="163"/>
      <c r="L27" s="165">
        <f>+(H27*0.05)+H27</f>
        <v>10.5</v>
      </c>
      <c r="M27" s="7">
        <f>L27*1.05</f>
        <v>11.025</v>
      </c>
      <c r="N27" s="353">
        <f>H27+L27+M27</f>
        <v>31.524999999999999</v>
      </c>
      <c r="O27" s="166" t="s">
        <v>263</v>
      </c>
      <c r="P27" s="153" t="s">
        <v>62</v>
      </c>
      <c r="Q27" s="153">
        <v>20</v>
      </c>
      <c r="R27" s="153">
        <v>20</v>
      </c>
      <c r="S27" s="153">
        <v>20</v>
      </c>
      <c r="T27" s="614" t="s">
        <v>244</v>
      </c>
      <c r="U27" s="573"/>
    </row>
    <row r="28" spans="1:26" ht="12.75" x14ac:dyDescent="0.2">
      <c r="A28" s="405"/>
      <c r="B28" s="407"/>
      <c r="C28" s="409"/>
      <c r="D28" s="602"/>
      <c r="E28" s="604"/>
      <c r="F28" s="606"/>
      <c r="G28" s="167" t="s">
        <v>23</v>
      </c>
      <c r="H28" s="168" t="str">
        <f>+H27</f>
        <v>10</v>
      </c>
      <c r="I28" s="168">
        <f t="shared" ref="I28:N28" si="7">+I27</f>
        <v>0</v>
      </c>
      <c r="J28" s="168">
        <f t="shared" si="7"/>
        <v>0</v>
      </c>
      <c r="K28" s="168">
        <f t="shared" si="7"/>
        <v>0</v>
      </c>
      <c r="L28" s="169">
        <f t="shared" si="7"/>
        <v>10.5</v>
      </c>
      <c r="M28" s="169">
        <f t="shared" si="7"/>
        <v>11.025</v>
      </c>
      <c r="N28" s="168">
        <f t="shared" si="7"/>
        <v>31.524999999999999</v>
      </c>
      <c r="O28" s="170"/>
      <c r="P28" s="171"/>
      <c r="Q28" s="171"/>
      <c r="R28" s="171"/>
      <c r="S28" s="171"/>
      <c r="T28" s="615"/>
      <c r="U28" s="573"/>
    </row>
    <row r="29" spans="1:26" ht="20.25" customHeight="1" x14ac:dyDescent="0.2">
      <c r="A29" s="404" t="s">
        <v>46</v>
      </c>
      <c r="B29" s="406" t="s">
        <v>46</v>
      </c>
      <c r="C29" s="408" t="s">
        <v>50</v>
      </c>
      <c r="D29" s="607" t="s">
        <v>264</v>
      </c>
      <c r="E29" s="544" t="s">
        <v>59</v>
      </c>
      <c r="F29" s="397">
        <v>188718713</v>
      </c>
      <c r="G29" s="172" t="s">
        <v>95</v>
      </c>
      <c r="H29" s="173" t="s">
        <v>265</v>
      </c>
      <c r="I29" s="174"/>
      <c r="J29" s="174"/>
      <c r="K29" s="174"/>
      <c r="L29" s="7">
        <f>H29*1.05</f>
        <v>0.42000000000000004</v>
      </c>
      <c r="M29" s="7">
        <f>L29*1.05</f>
        <v>0.44100000000000006</v>
      </c>
      <c r="N29" s="353">
        <f>H29+L29+M29</f>
        <v>1.2610000000000001</v>
      </c>
      <c r="O29" s="576" t="s">
        <v>266</v>
      </c>
      <c r="P29" s="569" t="s">
        <v>267</v>
      </c>
      <c r="Q29" s="569">
        <v>15</v>
      </c>
      <c r="R29" s="569">
        <v>10</v>
      </c>
      <c r="S29" s="569">
        <v>5</v>
      </c>
      <c r="T29" s="401" t="s">
        <v>244</v>
      </c>
    </row>
    <row r="30" spans="1:26" ht="12.75" x14ac:dyDescent="0.2">
      <c r="A30" s="405"/>
      <c r="B30" s="407"/>
      <c r="C30" s="409"/>
      <c r="D30" s="608"/>
      <c r="E30" s="545"/>
      <c r="F30" s="398"/>
      <c r="G30" s="175" t="s">
        <v>23</v>
      </c>
      <c r="H30" s="176" t="str">
        <f>+H29</f>
        <v>0,4</v>
      </c>
      <c r="I30" s="176">
        <f t="shared" ref="I30:N30" si="8">+I29</f>
        <v>0</v>
      </c>
      <c r="J30" s="176">
        <f t="shared" si="8"/>
        <v>0</v>
      </c>
      <c r="K30" s="176">
        <f t="shared" si="8"/>
        <v>0</v>
      </c>
      <c r="L30" s="177">
        <f t="shared" si="8"/>
        <v>0.42000000000000004</v>
      </c>
      <c r="M30" s="177">
        <f t="shared" si="8"/>
        <v>0.44100000000000006</v>
      </c>
      <c r="N30" s="176">
        <f t="shared" si="8"/>
        <v>1.2610000000000001</v>
      </c>
      <c r="O30" s="577"/>
      <c r="P30" s="570"/>
      <c r="Q30" s="570"/>
      <c r="R30" s="570"/>
      <c r="S30" s="570"/>
      <c r="T30" s="402"/>
    </row>
    <row r="31" spans="1:26" s="182" customFormat="1" ht="14.25" customHeight="1" x14ac:dyDescent="0.2">
      <c r="A31" s="609" t="s">
        <v>236</v>
      </c>
      <c r="B31" s="610"/>
      <c r="C31" s="610"/>
      <c r="D31" s="610"/>
      <c r="E31" s="610"/>
      <c r="F31" s="610"/>
      <c r="G31" s="611"/>
      <c r="H31" s="178">
        <f>+SUM(H32:H37)</f>
        <v>697.8</v>
      </c>
      <c r="I31" s="178" t="e">
        <f t="shared" ref="I31:N31" si="9">+SUM(I32:I37)</f>
        <v>#REF!</v>
      </c>
      <c r="J31" s="178" t="e">
        <f t="shared" si="9"/>
        <v>#REF!</v>
      </c>
      <c r="K31" s="178" t="e">
        <f t="shared" si="9"/>
        <v>#REF!</v>
      </c>
      <c r="L31" s="178">
        <f t="shared" si="9"/>
        <v>732.69</v>
      </c>
      <c r="M31" s="178">
        <f t="shared" si="9"/>
        <v>769.32450000000006</v>
      </c>
      <c r="N31" s="178">
        <f t="shared" si="9"/>
        <v>2199.8145000000004</v>
      </c>
      <c r="O31" s="179"/>
      <c r="P31" s="179"/>
      <c r="Q31" s="179"/>
      <c r="R31" s="179"/>
      <c r="S31" s="179"/>
      <c r="T31" s="180"/>
      <c r="U31" s="181"/>
    </row>
    <row r="32" spans="1:26" ht="14.25" customHeight="1" x14ac:dyDescent="0.2">
      <c r="A32" s="476"/>
      <c r="B32" s="612"/>
      <c r="C32" s="612"/>
      <c r="D32" s="612"/>
      <c r="E32" s="612"/>
      <c r="F32" s="613"/>
      <c r="G32" s="34" t="s">
        <v>40</v>
      </c>
      <c r="H32" s="183">
        <f>+H8+H28+H17+H10+H21</f>
        <v>303</v>
      </c>
      <c r="I32" s="183" t="e">
        <f>+I8+#REF!+#REF!+I28+#REF!+#REF!+I17+I10+I21</f>
        <v>#REF!</v>
      </c>
      <c r="J32" s="183" t="e">
        <f>+J8+#REF!+#REF!+J28+#REF!+#REF!+J17+J10+J21</f>
        <v>#REF!</v>
      </c>
      <c r="K32" s="183" t="e">
        <f>+K8+#REF!+#REF!+K28+#REF!+#REF!+K17+K10+K21</f>
        <v>#REF!</v>
      </c>
      <c r="L32" s="183">
        <f>+L8+L28+L17+L10+L21</f>
        <v>318.14999999999998</v>
      </c>
      <c r="M32" s="183">
        <f>+M8+M28+M17+M10+M21</f>
        <v>334.0575</v>
      </c>
      <c r="N32" s="183">
        <f>N8+N10+N17+N27</f>
        <v>955.20749999999987</v>
      </c>
      <c r="O32" s="183"/>
      <c r="P32" s="183"/>
      <c r="Q32" s="183"/>
      <c r="R32" s="183"/>
      <c r="S32" s="183"/>
      <c r="T32" s="52"/>
    </row>
    <row r="33" spans="1:20" ht="14.25" customHeight="1" x14ac:dyDescent="0.2">
      <c r="A33" s="556"/>
      <c r="B33" s="557"/>
      <c r="C33" s="557"/>
      <c r="D33" s="557"/>
      <c r="E33" s="557"/>
      <c r="F33" s="558"/>
      <c r="G33" s="34" t="s">
        <v>95</v>
      </c>
      <c r="H33" s="183">
        <f>+H13+H30+H24</f>
        <v>390.8</v>
      </c>
      <c r="I33" s="183" t="e">
        <f>+#REF!+I13+I30+I24</f>
        <v>#REF!</v>
      </c>
      <c r="J33" s="183" t="e">
        <f>+#REF!+J13+J30+J24</f>
        <v>#REF!</v>
      </c>
      <c r="K33" s="183" t="e">
        <f>+#REF!+K13+K30+K24</f>
        <v>#REF!</v>
      </c>
      <c r="L33" s="183">
        <f>+L13+L30+L24</f>
        <v>410.34000000000003</v>
      </c>
      <c r="M33" s="183">
        <f>+M13+M30+M24</f>
        <v>430.85700000000003</v>
      </c>
      <c r="N33" s="183">
        <f>+N13+N30+N24</f>
        <v>1231.9970000000003</v>
      </c>
      <c r="O33" s="183"/>
      <c r="P33" s="183"/>
      <c r="Q33" s="183"/>
      <c r="R33" s="183"/>
      <c r="S33" s="183"/>
      <c r="T33" s="52"/>
    </row>
    <row r="34" spans="1:20" ht="14.25" customHeight="1" x14ac:dyDescent="0.2">
      <c r="A34" s="135"/>
      <c r="B34" s="136"/>
      <c r="C34" s="136"/>
      <c r="D34" s="136"/>
      <c r="E34" s="136"/>
      <c r="F34" s="137"/>
      <c r="G34" s="34" t="s">
        <v>237</v>
      </c>
      <c r="H34" s="184">
        <v>0</v>
      </c>
      <c r="I34" s="184">
        <v>0</v>
      </c>
      <c r="J34" s="184">
        <v>0</v>
      </c>
      <c r="K34" s="184">
        <v>0</v>
      </c>
      <c r="L34" s="184">
        <v>0</v>
      </c>
      <c r="M34" s="184">
        <v>0</v>
      </c>
      <c r="N34" s="184">
        <v>0</v>
      </c>
      <c r="O34" s="184"/>
      <c r="P34" s="184"/>
      <c r="Q34" s="184"/>
      <c r="R34" s="184"/>
      <c r="S34" s="184"/>
      <c r="T34" s="52"/>
    </row>
    <row r="35" spans="1:20" ht="14.25" customHeight="1" x14ac:dyDescent="0.2">
      <c r="A35" s="135"/>
      <c r="B35" s="136"/>
      <c r="C35" s="136"/>
      <c r="D35" s="136"/>
      <c r="E35" s="136"/>
      <c r="F35" s="137"/>
      <c r="G35" s="34" t="s">
        <v>53</v>
      </c>
      <c r="H35" s="184">
        <f t="shared" ref="H35:N35" si="10">+H14</f>
        <v>4</v>
      </c>
      <c r="I35" s="184">
        <f t="shared" si="10"/>
        <v>0</v>
      </c>
      <c r="J35" s="184">
        <f t="shared" si="10"/>
        <v>0</v>
      </c>
      <c r="K35" s="184">
        <f t="shared" si="10"/>
        <v>0</v>
      </c>
      <c r="L35" s="184">
        <f t="shared" si="10"/>
        <v>4.2</v>
      </c>
      <c r="M35" s="184">
        <f t="shared" si="10"/>
        <v>4.41</v>
      </c>
      <c r="N35" s="184">
        <f t="shared" si="10"/>
        <v>12.61</v>
      </c>
      <c r="O35" s="184"/>
      <c r="P35" s="184"/>
      <c r="Q35" s="184"/>
      <c r="R35" s="184"/>
      <c r="S35" s="184"/>
      <c r="T35" s="52"/>
    </row>
    <row r="36" spans="1:20" ht="14.25" customHeight="1" x14ac:dyDescent="0.2">
      <c r="A36" s="135"/>
      <c r="B36" s="136"/>
      <c r="C36" s="136"/>
      <c r="D36" s="136"/>
      <c r="E36" s="136"/>
      <c r="F36" s="137"/>
      <c r="G36" s="34" t="s">
        <v>144</v>
      </c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52"/>
    </row>
    <row r="37" spans="1:20" ht="14.25" customHeight="1" x14ac:dyDescent="0.2">
      <c r="A37" s="556"/>
      <c r="B37" s="557"/>
      <c r="C37" s="557"/>
      <c r="D37" s="557"/>
      <c r="E37" s="557"/>
      <c r="F37" s="558"/>
      <c r="G37" s="34" t="s">
        <v>149</v>
      </c>
      <c r="H37" s="184">
        <v>0</v>
      </c>
      <c r="I37" s="184" t="e">
        <f>+#REF!</f>
        <v>#REF!</v>
      </c>
      <c r="J37" s="184" t="e">
        <f>+#REF!</f>
        <v>#REF!</v>
      </c>
      <c r="K37" s="184" t="e">
        <f>+#REF!</f>
        <v>#REF!</v>
      </c>
      <c r="L37" s="184">
        <v>0</v>
      </c>
      <c r="M37" s="184">
        <v>0</v>
      </c>
      <c r="N37" s="184">
        <v>0</v>
      </c>
      <c r="O37" s="184"/>
      <c r="P37" s="184"/>
      <c r="Q37" s="184"/>
      <c r="R37" s="184"/>
      <c r="S37" s="184"/>
      <c r="T37" s="52"/>
    </row>
    <row r="38" spans="1:20" ht="14.25" customHeight="1" x14ac:dyDescent="0.2"/>
    <row r="39" spans="1:20" ht="14.25" customHeight="1" x14ac:dyDescent="0.2"/>
    <row r="40" spans="1:20" ht="14.25" customHeight="1" x14ac:dyDescent="0.2"/>
    <row r="41" spans="1:20" ht="14.25" customHeight="1" x14ac:dyDescent="0.2">
      <c r="N41" s="354"/>
    </row>
    <row r="42" spans="1:20" ht="14.25" customHeight="1" x14ac:dyDescent="0.2"/>
    <row r="43" spans="1:20" ht="14.25" customHeight="1" x14ac:dyDescent="0.2"/>
    <row r="44" spans="1:20" ht="14.25" customHeight="1" x14ac:dyDescent="0.2"/>
    <row r="45" spans="1:20" ht="14.25" customHeight="1" x14ac:dyDescent="0.2"/>
    <row r="46" spans="1:20" ht="14.25" customHeight="1" x14ac:dyDescent="0.2"/>
    <row r="47" spans="1:20" ht="14.25" customHeight="1" x14ac:dyDescent="0.2"/>
    <row r="48" spans="1:20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</sheetData>
  <mergeCells count="113">
    <mergeCell ref="A33:F33"/>
    <mergeCell ref="A37:F37"/>
    <mergeCell ref="Q29:Q30"/>
    <mergeCell ref="R29:R30"/>
    <mergeCell ref="S29:S30"/>
    <mergeCell ref="T29:T30"/>
    <mergeCell ref="A31:G31"/>
    <mergeCell ref="A32:F32"/>
    <mergeCell ref="T27:T28"/>
    <mergeCell ref="C26:T26"/>
    <mergeCell ref="A27:A28"/>
    <mergeCell ref="B27:B28"/>
    <mergeCell ref="C27:C28"/>
    <mergeCell ref="D27:D28"/>
    <mergeCell ref="E27:E28"/>
    <mergeCell ref="F27:F28"/>
    <mergeCell ref="U27:U28"/>
    <mergeCell ref="A29:A30"/>
    <mergeCell ref="B29:B30"/>
    <mergeCell ref="C29:C30"/>
    <mergeCell ref="D29:D30"/>
    <mergeCell ref="E29:E30"/>
    <mergeCell ref="F29:F30"/>
    <mergeCell ref="O29:O30"/>
    <mergeCell ref="P29:P30"/>
    <mergeCell ref="U21:U23"/>
    <mergeCell ref="A24:A25"/>
    <mergeCell ref="B24:B25"/>
    <mergeCell ref="C24:C25"/>
    <mergeCell ref="D24:D25"/>
    <mergeCell ref="E24:E25"/>
    <mergeCell ref="F24:F25"/>
    <mergeCell ref="O24:O25"/>
    <mergeCell ref="P24:P25"/>
    <mergeCell ref="Q24:Q25"/>
    <mergeCell ref="R24:R25"/>
    <mergeCell ref="S24:S25"/>
    <mergeCell ref="T24:T25"/>
    <mergeCell ref="B19:T19"/>
    <mergeCell ref="C20:T20"/>
    <mergeCell ref="A21:A23"/>
    <mergeCell ref="B21:B23"/>
    <mergeCell ref="C21:C23"/>
    <mergeCell ref="D21:D23"/>
    <mergeCell ref="E21:E23"/>
    <mergeCell ref="F21:F23"/>
    <mergeCell ref="T21:T23"/>
    <mergeCell ref="U13:U15"/>
    <mergeCell ref="C16:T16"/>
    <mergeCell ref="A17:A18"/>
    <mergeCell ref="B17:B18"/>
    <mergeCell ref="C17:C18"/>
    <mergeCell ref="D17:D18"/>
    <mergeCell ref="E17:E18"/>
    <mergeCell ref="F17:F18"/>
    <mergeCell ref="T17:T18"/>
    <mergeCell ref="U17:U18"/>
    <mergeCell ref="O13:O15"/>
    <mergeCell ref="P13:P15"/>
    <mergeCell ref="Q13:Q15"/>
    <mergeCell ref="R13:R15"/>
    <mergeCell ref="S13:S15"/>
    <mergeCell ref="T13:T15"/>
    <mergeCell ref="A13:A15"/>
    <mergeCell ref="B13:B15"/>
    <mergeCell ref="C13:C15"/>
    <mergeCell ref="D13:D15"/>
    <mergeCell ref="E13:E15"/>
    <mergeCell ref="F13:F15"/>
    <mergeCell ref="Q10:Q11"/>
    <mergeCell ref="R10:R11"/>
    <mergeCell ref="S10:S11"/>
    <mergeCell ref="T10:T11"/>
    <mergeCell ref="U10:U11"/>
    <mergeCell ref="C12:T12"/>
    <mergeCell ref="T8:T9"/>
    <mergeCell ref="U8:U9"/>
    <mergeCell ref="A10:A11"/>
    <mergeCell ref="B10:B11"/>
    <mergeCell ref="C10:C11"/>
    <mergeCell ref="D10:D11"/>
    <mergeCell ref="E10:E11"/>
    <mergeCell ref="F10:F11"/>
    <mergeCell ref="O10:O11"/>
    <mergeCell ref="P10:P11"/>
    <mergeCell ref="F8:F9"/>
    <mergeCell ref="O8:O9"/>
    <mergeCell ref="P8:P9"/>
    <mergeCell ref="Q8:Q9"/>
    <mergeCell ref="R8:R9"/>
    <mergeCell ref="S8:S9"/>
    <mergeCell ref="T2:T4"/>
    <mergeCell ref="H3:H4"/>
    <mergeCell ref="I3:K3"/>
    <mergeCell ref="Q3:S3"/>
    <mergeCell ref="C7:T7"/>
    <mergeCell ref="A8:A9"/>
    <mergeCell ref="B8:B9"/>
    <mergeCell ref="C8:C9"/>
    <mergeCell ref="D8:D9"/>
    <mergeCell ref="E8:E9"/>
    <mergeCell ref="G2:G4"/>
    <mergeCell ref="H2:K2"/>
    <mergeCell ref="L2:L4"/>
    <mergeCell ref="M2:M4"/>
    <mergeCell ref="N2:N4"/>
    <mergeCell ref="O2:S2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162FD-2DBF-403A-800F-7CB145E4774F}">
  <dimension ref="A2:U355"/>
  <sheetViews>
    <sheetView topLeftCell="A75" workbookViewId="0">
      <selection activeCell="O121" sqref="O121"/>
    </sheetView>
  </sheetViews>
  <sheetFormatPr defaultColWidth="9.140625" defaultRowHeight="15" outlineLevelCol="1" x14ac:dyDescent="0.2"/>
  <cols>
    <col min="1" max="2" width="4.42578125" style="13" customWidth="1"/>
    <col min="3" max="3" width="5.5703125" style="14" customWidth="1"/>
    <col min="4" max="4" width="42.5703125" style="15" customWidth="1"/>
    <col min="5" max="5" width="4.42578125" style="138" customWidth="1"/>
    <col min="6" max="6" width="16" style="15" customWidth="1"/>
    <col min="7" max="7" width="7" style="26" customWidth="1" outlineLevel="1"/>
    <col min="8" max="8" width="11.5703125" style="20" customWidth="1" outlineLevel="1"/>
    <col min="9" max="9" width="12.140625" style="20" hidden="1" customWidth="1" outlineLevel="1"/>
    <col min="10" max="10" width="11.5703125" style="20" hidden="1" customWidth="1" outlineLevel="1"/>
    <col min="11" max="11" width="13.5703125" style="20" hidden="1" customWidth="1" outlineLevel="1"/>
    <col min="12" max="12" width="12.42578125" style="20" customWidth="1" outlineLevel="1"/>
    <col min="13" max="13" width="11.5703125" style="20" customWidth="1" outlineLevel="1"/>
    <col min="14" max="14" width="12.42578125" style="20" customWidth="1" outlineLevel="1"/>
    <col min="15" max="15" width="26.140625" style="20" customWidth="1"/>
    <col min="16" max="16" width="8.140625" style="20" customWidth="1"/>
    <col min="17" max="18" width="7.140625" style="20" customWidth="1"/>
    <col min="19" max="19" width="6.7109375" style="20" customWidth="1"/>
    <col min="20" max="20" width="19.42578125" style="141" customWidth="1"/>
    <col min="21" max="21" width="29.85546875" style="20" customWidth="1"/>
    <col min="22" max="16384" width="9.140625" style="20"/>
  </cols>
  <sheetData>
    <row r="2" spans="1:21" ht="25.5" customHeight="1" x14ac:dyDescent="0.2">
      <c r="A2" s="489" t="s">
        <v>13</v>
      </c>
      <c r="B2" s="489" t="s">
        <v>14</v>
      </c>
      <c r="C2" s="490" t="s">
        <v>15</v>
      </c>
      <c r="D2" s="397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622"/>
      <c r="J2" s="622"/>
      <c r="K2" s="623"/>
      <c r="L2" s="466" t="s">
        <v>21</v>
      </c>
      <c r="M2" s="466" t="s">
        <v>22</v>
      </c>
      <c r="N2" s="530" t="s">
        <v>23</v>
      </c>
      <c r="O2" s="475" t="s">
        <v>24</v>
      </c>
      <c r="P2" s="475"/>
      <c r="Q2" s="475"/>
      <c r="R2" s="475"/>
      <c r="S2" s="475"/>
      <c r="T2" s="469" t="s">
        <v>25</v>
      </c>
    </row>
    <row r="3" spans="1:21" ht="15" customHeight="1" x14ac:dyDescent="0.2">
      <c r="A3" s="489"/>
      <c r="B3" s="489"/>
      <c r="C3" s="490"/>
      <c r="D3" s="457"/>
      <c r="E3" s="567"/>
      <c r="F3" s="467"/>
      <c r="G3" s="467"/>
      <c r="H3" s="466" t="s">
        <v>23</v>
      </c>
      <c r="I3" s="480" t="s">
        <v>26</v>
      </c>
      <c r="J3" s="481"/>
      <c r="K3" s="482"/>
      <c r="L3" s="624"/>
      <c r="M3" s="624"/>
      <c r="N3" s="531"/>
      <c r="O3" s="71"/>
      <c r="P3" s="67"/>
      <c r="Q3" s="475" t="s">
        <v>27</v>
      </c>
      <c r="R3" s="475"/>
      <c r="S3" s="475"/>
      <c r="T3" s="470"/>
    </row>
    <row r="4" spans="1:21" ht="54.75" customHeight="1" x14ac:dyDescent="0.2">
      <c r="A4" s="489"/>
      <c r="B4" s="489"/>
      <c r="C4" s="490"/>
      <c r="D4" s="398"/>
      <c r="E4" s="568"/>
      <c r="F4" s="468"/>
      <c r="G4" s="468"/>
      <c r="H4" s="479"/>
      <c r="I4" s="21" t="s">
        <v>23</v>
      </c>
      <c r="J4" s="21" t="s">
        <v>28</v>
      </c>
      <c r="K4" s="21" t="s">
        <v>268</v>
      </c>
      <c r="L4" s="625"/>
      <c r="M4" s="625"/>
      <c r="N4" s="53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471"/>
      <c r="U4" s="185"/>
    </row>
    <row r="5" spans="1:21" ht="14.25" x14ac:dyDescent="0.2">
      <c r="A5" s="22" t="s">
        <v>269</v>
      </c>
      <c r="B5" s="23"/>
      <c r="C5" s="23"/>
      <c r="D5" s="23"/>
      <c r="E5" s="23"/>
      <c r="F5" s="23"/>
      <c r="G5" s="23"/>
      <c r="H5" s="114"/>
      <c r="I5" s="114"/>
      <c r="J5" s="114"/>
      <c r="K5" s="114"/>
      <c r="L5" s="114"/>
      <c r="M5" s="114"/>
      <c r="N5" s="114"/>
      <c r="O5" s="23"/>
      <c r="P5" s="23"/>
      <c r="Q5" s="23"/>
      <c r="R5" s="23"/>
      <c r="S5" s="23"/>
      <c r="T5" s="25"/>
    </row>
    <row r="6" spans="1:21" ht="14.25" customHeight="1" x14ac:dyDescent="0.2">
      <c r="A6" s="115" t="s">
        <v>36</v>
      </c>
      <c r="B6" s="28" t="s">
        <v>270</v>
      </c>
      <c r="C6" s="29"/>
      <c r="D6" s="29"/>
      <c r="E6" s="29"/>
      <c r="F6" s="29"/>
      <c r="G6" s="31"/>
      <c r="H6" s="117"/>
      <c r="I6" s="117"/>
      <c r="J6" s="117"/>
      <c r="K6" s="117"/>
      <c r="L6" s="117"/>
      <c r="M6" s="117"/>
      <c r="N6" s="117"/>
      <c r="O6" s="29"/>
      <c r="P6" s="29"/>
      <c r="Q6" s="29"/>
      <c r="R6" s="29"/>
      <c r="S6" s="29"/>
      <c r="T6" s="35"/>
    </row>
    <row r="7" spans="1:21" ht="14.25" customHeight="1" x14ac:dyDescent="0.2">
      <c r="A7" s="27" t="s">
        <v>36</v>
      </c>
      <c r="B7" s="32" t="s">
        <v>46</v>
      </c>
      <c r="C7" s="424" t="s">
        <v>271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</row>
    <row r="8" spans="1:21" ht="12.75" x14ac:dyDescent="0.2">
      <c r="A8" s="404" t="s">
        <v>36</v>
      </c>
      <c r="B8" s="406" t="s">
        <v>46</v>
      </c>
      <c r="C8" s="616" t="s">
        <v>36</v>
      </c>
      <c r="D8" s="617" t="s">
        <v>272</v>
      </c>
      <c r="E8" s="619">
        <v>10</v>
      </c>
      <c r="F8" s="626">
        <v>188718713</v>
      </c>
      <c r="G8" s="130" t="s">
        <v>40</v>
      </c>
      <c r="H8" s="152"/>
      <c r="I8" s="152"/>
      <c r="J8" s="152"/>
      <c r="K8" s="152"/>
      <c r="L8" s="152"/>
      <c r="M8" s="152"/>
      <c r="N8" s="152"/>
      <c r="O8" s="462" t="s">
        <v>273</v>
      </c>
      <c r="P8" s="536" t="s">
        <v>45</v>
      </c>
      <c r="Q8" s="632">
        <v>20</v>
      </c>
      <c r="R8" s="632">
        <v>30</v>
      </c>
      <c r="S8" s="632">
        <v>40</v>
      </c>
      <c r="T8" s="401" t="s">
        <v>274</v>
      </c>
      <c r="U8" s="627"/>
    </row>
    <row r="9" spans="1:21" ht="12.75" x14ac:dyDescent="0.2">
      <c r="A9" s="447"/>
      <c r="B9" s="448"/>
      <c r="C9" s="616"/>
      <c r="D9" s="618"/>
      <c r="E9" s="620"/>
      <c r="F9" s="626"/>
      <c r="G9" s="126" t="s">
        <v>23</v>
      </c>
      <c r="H9" s="154"/>
      <c r="I9" s="154"/>
      <c r="J9" s="154"/>
      <c r="K9" s="154"/>
      <c r="L9" s="154"/>
      <c r="M9" s="154"/>
      <c r="N9" s="154"/>
      <c r="O9" s="631"/>
      <c r="P9" s="547"/>
      <c r="Q9" s="633"/>
      <c r="R9" s="633"/>
      <c r="S9" s="633"/>
      <c r="T9" s="431"/>
      <c r="U9" s="627"/>
    </row>
    <row r="10" spans="1:21" ht="14.25" customHeight="1" x14ac:dyDescent="0.2">
      <c r="A10" s="447"/>
      <c r="B10" s="448"/>
      <c r="C10" s="616"/>
      <c r="D10" s="618"/>
      <c r="E10" s="620"/>
      <c r="F10" s="626"/>
      <c r="G10" s="130" t="s">
        <v>95</v>
      </c>
      <c r="H10" s="152">
        <v>122.1</v>
      </c>
      <c r="I10" s="152"/>
      <c r="J10" s="152"/>
      <c r="K10" s="152"/>
      <c r="L10" s="208">
        <f>H10*1.05</f>
        <v>128.20500000000001</v>
      </c>
      <c r="M10" s="208">
        <f>L10*1.05</f>
        <v>134.61525000000003</v>
      </c>
      <c r="N10" s="208">
        <f>SUM(I10+L10+M10)+H10</f>
        <v>384.92025000000001</v>
      </c>
      <c r="O10" s="631"/>
      <c r="P10" s="547"/>
      <c r="Q10" s="633"/>
      <c r="R10" s="633"/>
      <c r="S10" s="633"/>
      <c r="T10" s="431"/>
      <c r="U10" s="627"/>
    </row>
    <row r="11" spans="1:21" ht="14.25" customHeight="1" x14ac:dyDescent="0.2">
      <c r="A11" s="405"/>
      <c r="B11" s="407"/>
      <c r="C11" s="616"/>
      <c r="D11" s="618"/>
      <c r="E11" s="621"/>
      <c r="F11" s="626"/>
      <c r="G11" s="126" t="s">
        <v>23</v>
      </c>
      <c r="H11" s="154">
        <f>SUM(H10)</f>
        <v>122.1</v>
      </c>
      <c r="I11" s="154">
        <f t="shared" ref="I11:M11" si="0">SUM(I10)</f>
        <v>0</v>
      </c>
      <c r="J11" s="154">
        <f t="shared" si="0"/>
        <v>0</v>
      </c>
      <c r="K11" s="154">
        <f t="shared" si="0"/>
        <v>0</v>
      </c>
      <c r="L11" s="154">
        <f t="shared" si="0"/>
        <v>128.20500000000001</v>
      </c>
      <c r="M11" s="209">
        <f t="shared" si="0"/>
        <v>134.61525000000003</v>
      </c>
      <c r="N11" s="209">
        <f t="shared" ref="N11:N38" si="1">SUM(I11+L11+M11)+H11</f>
        <v>384.92025000000001</v>
      </c>
      <c r="O11" s="463"/>
      <c r="P11" s="537"/>
      <c r="Q11" s="634"/>
      <c r="R11" s="634"/>
      <c r="S11" s="634"/>
      <c r="T11" s="402"/>
      <c r="U11" s="627"/>
    </row>
    <row r="12" spans="1:21" ht="12.75" x14ac:dyDescent="0.2">
      <c r="A12" s="404" t="s">
        <v>36</v>
      </c>
      <c r="B12" s="406" t="s">
        <v>46</v>
      </c>
      <c r="C12" s="408" t="s">
        <v>46</v>
      </c>
      <c r="D12" s="617" t="s">
        <v>275</v>
      </c>
      <c r="E12" s="544" t="s">
        <v>70</v>
      </c>
      <c r="F12" s="397">
        <v>175014940</v>
      </c>
      <c r="G12" s="130" t="s">
        <v>40</v>
      </c>
      <c r="H12" s="119">
        <v>509.3</v>
      </c>
      <c r="I12" s="119"/>
      <c r="J12" s="119"/>
      <c r="K12" s="119"/>
      <c r="L12" s="152">
        <f>H12*1.05</f>
        <v>534.76499999999999</v>
      </c>
      <c r="M12" s="208">
        <f>L12*1.05</f>
        <v>561.50324999999998</v>
      </c>
      <c r="N12" s="208">
        <f t="shared" si="1"/>
        <v>1605.56825</v>
      </c>
      <c r="O12" s="378" t="s">
        <v>276</v>
      </c>
      <c r="P12" s="536" t="s">
        <v>267</v>
      </c>
      <c r="Q12" s="632">
        <v>50.9</v>
      </c>
      <c r="R12" s="632">
        <v>50.9</v>
      </c>
      <c r="S12" s="632">
        <v>50.9</v>
      </c>
      <c r="T12" s="401" t="s">
        <v>277</v>
      </c>
      <c r="U12" s="627"/>
    </row>
    <row r="13" spans="1:21" ht="12.75" x14ac:dyDescent="0.2">
      <c r="A13" s="447"/>
      <c r="B13" s="448"/>
      <c r="C13" s="427"/>
      <c r="D13" s="618"/>
      <c r="E13" s="591"/>
      <c r="F13" s="457"/>
      <c r="G13" s="126" t="s">
        <v>23</v>
      </c>
      <c r="H13" s="123">
        <f t="shared" ref="H13:M13" si="2">+H12</f>
        <v>509.3</v>
      </c>
      <c r="I13" s="123">
        <f t="shared" si="2"/>
        <v>0</v>
      </c>
      <c r="J13" s="123">
        <f t="shared" si="2"/>
        <v>0</v>
      </c>
      <c r="K13" s="123">
        <f t="shared" si="2"/>
        <v>0</v>
      </c>
      <c r="L13" s="123">
        <f t="shared" si="2"/>
        <v>534.76499999999999</v>
      </c>
      <c r="M13" s="123">
        <f t="shared" si="2"/>
        <v>561.50324999999998</v>
      </c>
      <c r="N13" s="209">
        <f t="shared" si="1"/>
        <v>1605.56825</v>
      </c>
      <c r="O13" s="388"/>
      <c r="P13" s="547"/>
      <c r="Q13" s="633"/>
      <c r="R13" s="633"/>
      <c r="S13" s="633"/>
      <c r="T13" s="431"/>
      <c r="U13" s="627"/>
    </row>
    <row r="14" spans="1:21" ht="13.5" customHeight="1" x14ac:dyDescent="0.2">
      <c r="A14" s="447"/>
      <c r="B14" s="448"/>
      <c r="C14" s="427"/>
      <c r="D14" s="618"/>
      <c r="E14" s="591"/>
      <c r="F14" s="457"/>
      <c r="G14" s="130" t="s">
        <v>53</v>
      </c>
      <c r="H14" s="119">
        <v>17</v>
      </c>
      <c r="I14" s="119"/>
      <c r="J14" s="119"/>
      <c r="K14" s="119"/>
      <c r="L14" s="152">
        <f>H14*1.05</f>
        <v>17.850000000000001</v>
      </c>
      <c r="M14" s="208">
        <f>L14*1.05</f>
        <v>18.742500000000003</v>
      </c>
      <c r="N14" s="208">
        <f t="shared" si="1"/>
        <v>53.592500000000001</v>
      </c>
      <c r="O14" s="379"/>
      <c r="P14" s="537"/>
      <c r="Q14" s="634"/>
      <c r="R14" s="634"/>
      <c r="S14" s="634"/>
      <c r="T14" s="431"/>
      <c r="U14" s="627"/>
    </row>
    <row r="15" spans="1:21" ht="13.5" customHeight="1" x14ac:dyDescent="0.2">
      <c r="A15" s="447"/>
      <c r="B15" s="448"/>
      <c r="C15" s="427"/>
      <c r="D15" s="618"/>
      <c r="E15" s="591"/>
      <c r="F15" s="457"/>
      <c r="G15" s="126" t="s">
        <v>23</v>
      </c>
      <c r="H15" s="123">
        <f t="shared" ref="H15:M15" si="3">+H14</f>
        <v>17</v>
      </c>
      <c r="I15" s="123">
        <f t="shared" si="3"/>
        <v>0</v>
      </c>
      <c r="J15" s="123">
        <f t="shared" si="3"/>
        <v>0</v>
      </c>
      <c r="K15" s="123">
        <f t="shared" si="3"/>
        <v>0</v>
      </c>
      <c r="L15" s="123">
        <f t="shared" si="3"/>
        <v>17.850000000000001</v>
      </c>
      <c r="M15" s="123">
        <f t="shared" si="3"/>
        <v>18.742500000000003</v>
      </c>
      <c r="N15" s="209">
        <f t="shared" si="1"/>
        <v>53.592500000000001</v>
      </c>
      <c r="O15" s="378" t="s">
        <v>278</v>
      </c>
      <c r="P15" s="380" t="s">
        <v>279</v>
      </c>
      <c r="Q15" s="628">
        <v>1200</v>
      </c>
      <c r="R15" s="628">
        <v>1250</v>
      </c>
      <c r="S15" s="628">
        <v>1300</v>
      </c>
      <c r="T15" s="431"/>
      <c r="U15" s="627"/>
    </row>
    <row r="16" spans="1:21" ht="13.5" customHeight="1" x14ac:dyDescent="0.2">
      <c r="A16" s="447"/>
      <c r="B16" s="448"/>
      <c r="C16" s="427"/>
      <c r="D16" s="618"/>
      <c r="E16" s="591"/>
      <c r="F16" s="457"/>
      <c r="G16" s="130" t="s">
        <v>95</v>
      </c>
      <c r="H16" s="119">
        <v>23.3</v>
      </c>
      <c r="I16" s="119"/>
      <c r="J16" s="119"/>
      <c r="K16" s="119"/>
      <c r="L16" s="152">
        <f>H16*1.05</f>
        <v>24.465000000000003</v>
      </c>
      <c r="M16" s="208">
        <f>L16*1.05</f>
        <v>25.688250000000004</v>
      </c>
      <c r="N16" s="208">
        <f t="shared" si="1"/>
        <v>73.453250000000011</v>
      </c>
      <c r="O16" s="388"/>
      <c r="P16" s="389"/>
      <c r="Q16" s="629"/>
      <c r="R16" s="629"/>
      <c r="S16" s="629"/>
      <c r="T16" s="431"/>
      <c r="U16" s="627"/>
    </row>
    <row r="17" spans="1:21" ht="13.5" customHeight="1" x14ac:dyDescent="0.2">
      <c r="A17" s="405"/>
      <c r="B17" s="407"/>
      <c r="C17" s="409"/>
      <c r="D17" s="638"/>
      <c r="E17" s="545"/>
      <c r="F17" s="398"/>
      <c r="G17" s="126" t="s">
        <v>23</v>
      </c>
      <c r="H17" s="123">
        <f>SUM(H16)</f>
        <v>23.3</v>
      </c>
      <c r="I17" s="123">
        <f t="shared" ref="I17:M17" si="4">SUM(I16)</f>
        <v>0</v>
      </c>
      <c r="J17" s="123">
        <f t="shared" si="4"/>
        <v>0</v>
      </c>
      <c r="K17" s="123">
        <f t="shared" si="4"/>
        <v>0</v>
      </c>
      <c r="L17" s="123">
        <f t="shared" si="4"/>
        <v>24.465000000000003</v>
      </c>
      <c r="M17" s="123">
        <f t="shared" si="4"/>
        <v>25.688250000000004</v>
      </c>
      <c r="N17" s="209">
        <f t="shared" si="1"/>
        <v>73.453250000000011</v>
      </c>
      <c r="O17" s="379"/>
      <c r="P17" s="381"/>
      <c r="Q17" s="630"/>
      <c r="R17" s="630"/>
      <c r="S17" s="630"/>
      <c r="T17" s="402"/>
      <c r="U17" s="627"/>
    </row>
    <row r="18" spans="1:21" ht="12.75" x14ac:dyDescent="0.2">
      <c r="A18" s="404" t="s">
        <v>36</v>
      </c>
      <c r="B18" s="406" t="s">
        <v>46</v>
      </c>
      <c r="C18" s="544" t="s">
        <v>50</v>
      </c>
      <c r="D18" s="635" t="s">
        <v>280</v>
      </c>
      <c r="E18" s="410" t="s">
        <v>70</v>
      </c>
      <c r="F18" s="595">
        <v>175012170</v>
      </c>
      <c r="G18" s="130" t="s">
        <v>40</v>
      </c>
      <c r="H18" s="119">
        <v>580</v>
      </c>
      <c r="I18" s="119"/>
      <c r="J18" s="119"/>
      <c r="K18" s="119"/>
      <c r="L18" s="152">
        <f>H18*1.05</f>
        <v>609</v>
      </c>
      <c r="M18" s="208">
        <f>L18*1.05</f>
        <v>639.45000000000005</v>
      </c>
      <c r="N18" s="208">
        <f t="shared" si="1"/>
        <v>1828.45</v>
      </c>
      <c r="O18" s="378" t="s">
        <v>281</v>
      </c>
      <c r="P18" s="536" t="s">
        <v>267</v>
      </c>
      <c r="Q18" s="632">
        <v>19.2</v>
      </c>
      <c r="R18" s="632">
        <v>19.2</v>
      </c>
      <c r="S18" s="632">
        <v>19.2</v>
      </c>
      <c r="T18" s="401" t="s">
        <v>282</v>
      </c>
      <c r="U18" s="627"/>
    </row>
    <row r="19" spans="1:21" ht="12.95" customHeight="1" x14ac:dyDescent="0.2">
      <c r="A19" s="447"/>
      <c r="B19" s="448"/>
      <c r="C19" s="591"/>
      <c r="D19" s="636"/>
      <c r="E19" s="449"/>
      <c r="F19" s="596"/>
      <c r="G19" s="126" t="s">
        <v>23</v>
      </c>
      <c r="H19" s="123">
        <f>+H18</f>
        <v>580</v>
      </c>
      <c r="I19" s="123">
        <f t="shared" ref="I19:M19" si="5">+I18</f>
        <v>0</v>
      </c>
      <c r="J19" s="123">
        <f t="shared" si="5"/>
        <v>0</v>
      </c>
      <c r="K19" s="123">
        <f t="shared" si="5"/>
        <v>0</v>
      </c>
      <c r="L19" s="123">
        <f t="shared" si="5"/>
        <v>609</v>
      </c>
      <c r="M19" s="123">
        <f t="shared" si="5"/>
        <v>639.45000000000005</v>
      </c>
      <c r="N19" s="209">
        <f t="shared" si="1"/>
        <v>1828.45</v>
      </c>
      <c r="O19" s="388"/>
      <c r="P19" s="547"/>
      <c r="Q19" s="633"/>
      <c r="R19" s="633"/>
      <c r="S19" s="633"/>
      <c r="T19" s="431"/>
      <c r="U19" s="627"/>
    </row>
    <row r="20" spans="1:21" ht="13.5" customHeight="1" x14ac:dyDescent="0.2">
      <c r="A20" s="447"/>
      <c r="B20" s="448"/>
      <c r="C20" s="591"/>
      <c r="D20" s="636"/>
      <c r="E20" s="449"/>
      <c r="F20" s="596"/>
      <c r="G20" s="130" t="s">
        <v>53</v>
      </c>
      <c r="H20" s="119">
        <v>84</v>
      </c>
      <c r="I20" s="119"/>
      <c r="J20" s="119"/>
      <c r="K20" s="119"/>
      <c r="L20" s="152">
        <f>H20*1.05</f>
        <v>88.2</v>
      </c>
      <c r="M20" s="208">
        <f>L20*1.05</f>
        <v>92.610000000000014</v>
      </c>
      <c r="N20" s="208">
        <f t="shared" si="1"/>
        <v>264.81</v>
      </c>
      <c r="O20" s="379"/>
      <c r="P20" s="537"/>
      <c r="Q20" s="634"/>
      <c r="R20" s="634"/>
      <c r="S20" s="634"/>
      <c r="T20" s="431"/>
      <c r="U20" s="627"/>
    </row>
    <row r="21" spans="1:21" ht="14.25" customHeight="1" x14ac:dyDescent="0.2">
      <c r="A21" s="447"/>
      <c r="B21" s="448"/>
      <c r="C21" s="591"/>
      <c r="D21" s="636"/>
      <c r="E21" s="449"/>
      <c r="F21" s="596"/>
      <c r="G21" s="126" t="s">
        <v>23</v>
      </c>
      <c r="H21" s="123">
        <f t="shared" ref="H21:M21" si="6">+H20</f>
        <v>84</v>
      </c>
      <c r="I21" s="123">
        <f t="shared" si="6"/>
        <v>0</v>
      </c>
      <c r="J21" s="123">
        <f t="shared" si="6"/>
        <v>0</v>
      </c>
      <c r="K21" s="123">
        <f t="shared" si="6"/>
        <v>0</v>
      </c>
      <c r="L21" s="123">
        <f t="shared" si="6"/>
        <v>88.2</v>
      </c>
      <c r="M21" s="123">
        <f t="shared" si="6"/>
        <v>92.610000000000014</v>
      </c>
      <c r="N21" s="209">
        <f t="shared" si="1"/>
        <v>264.81</v>
      </c>
      <c r="O21" s="378" t="s">
        <v>283</v>
      </c>
      <c r="P21" s="380" t="s">
        <v>279</v>
      </c>
      <c r="Q21" s="628">
        <v>70</v>
      </c>
      <c r="R21" s="628">
        <v>70</v>
      </c>
      <c r="S21" s="628">
        <v>70</v>
      </c>
      <c r="T21" s="431"/>
      <c r="U21" s="627"/>
    </row>
    <row r="22" spans="1:21" ht="14.25" customHeight="1" x14ac:dyDescent="0.2">
      <c r="A22" s="447"/>
      <c r="B22" s="448"/>
      <c r="C22" s="591"/>
      <c r="D22" s="636"/>
      <c r="E22" s="449"/>
      <c r="F22" s="596"/>
      <c r="G22" s="130" t="s">
        <v>95</v>
      </c>
      <c r="H22" s="119">
        <v>17.100000000000001</v>
      </c>
      <c r="I22" s="119"/>
      <c r="J22" s="119"/>
      <c r="K22" s="119"/>
      <c r="L22" s="152">
        <f>H22*1.05</f>
        <v>17.955000000000002</v>
      </c>
      <c r="M22" s="208">
        <f>L22*1.05</f>
        <v>18.852750000000004</v>
      </c>
      <c r="N22" s="208">
        <f t="shared" si="1"/>
        <v>53.907750000000007</v>
      </c>
      <c r="O22" s="388"/>
      <c r="P22" s="389"/>
      <c r="Q22" s="629"/>
      <c r="R22" s="629"/>
      <c r="S22" s="629"/>
      <c r="T22" s="431"/>
      <c r="U22" s="627"/>
    </row>
    <row r="23" spans="1:21" ht="14.25" customHeight="1" x14ac:dyDescent="0.2">
      <c r="A23" s="405"/>
      <c r="B23" s="407"/>
      <c r="C23" s="545"/>
      <c r="D23" s="637"/>
      <c r="E23" s="411"/>
      <c r="F23" s="597"/>
      <c r="G23" s="126" t="s">
        <v>23</v>
      </c>
      <c r="H23" s="123">
        <f>SUM(H22)</f>
        <v>17.100000000000001</v>
      </c>
      <c r="I23" s="123">
        <f t="shared" ref="I23:M23" si="7">SUM(I22)</f>
        <v>0</v>
      </c>
      <c r="J23" s="123">
        <f t="shared" si="7"/>
        <v>0</v>
      </c>
      <c r="K23" s="123">
        <f t="shared" si="7"/>
        <v>0</v>
      </c>
      <c r="L23" s="123">
        <f t="shared" si="7"/>
        <v>17.955000000000002</v>
      </c>
      <c r="M23" s="123">
        <f t="shared" si="7"/>
        <v>18.852750000000004</v>
      </c>
      <c r="N23" s="209">
        <f t="shared" si="1"/>
        <v>53.907750000000007</v>
      </c>
      <c r="O23" s="379"/>
      <c r="P23" s="381"/>
      <c r="Q23" s="630"/>
      <c r="R23" s="630"/>
      <c r="S23" s="630"/>
      <c r="T23" s="402"/>
      <c r="U23" s="627"/>
    </row>
    <row r="24" spans="1:21" ht="12.95" customHeight="1" x14ac:dyDescent="0.2">
      <c r="A24" s="404" t="s">
        <v>36</v>
      </c>
      <c r="B24" s="406" t="s">
        <v>46</v>
      </c>
      <c r="C24" s="544" t="s">
        <v>55</v>
      </c>
      <c r="D24" s="635" t="s">
        <v>284</v>
      </c>
      <c r="E24" s="410" t="s">
        <v>70</v>
      </c>
      <c r="F24" s="595">
        <v>175012366</v>
      </c>
      <c r="G24" s="130" t="s">
        <v>40</v>
      </c>
      <c r="H24" s="119">
        <v>762.5</v>
      </c>
      <c r="I24" s="119"/>
      <c r="J24" s="119"/>
      <c r="K24" s="119"/>
      <c r="L24" s="152">
        <f>H24*1.05</f>
        <v>800.625</v>
      </c>
      <c r="M24" s="208">
        <f>L24*1.05</f>
        <v>840.65625</v>
      </c>
      <c r="N24" s="208">
        <f t="shared" si="1"/>
        <v>2403.78125</v>
      </c>
      <c r="O24" s="378" t="s">
        <v>281</v>
      </c>
      <c r="P24" s="536" t="s">
        <v>267</v>
      </c>
      <c r="Q24" s="632">
        <v>33</v>
      </c>
      <c r="R24" s="632">
        <v>33</v>
      </c>
      <c r="S24" s="632">
        <v>33</v>
      </c>
      <c r="T24" s="401" t="s">
        <v>285</v>
      </c>
      <c r="U24" s="627"/>
    </row>
    <row r="25" spans="1:21" ht="12.95" customHeight="1" x14ac:dyDescent="0.2">
      <c r="A25" s="447"/>
      <c r="B25" s="448"/>
      <c r="C25" s="591"/>
      <c r="D25" s="636"/>
      <c r="E25" s="449"/>
      <c r="F25" s="596"/>
      <c r="G25" s="126" t="s">
        <v>23</v>
      </c>
      <c r="H25" s="123">
        <f t="shared" ref="H25:M25" si="8">+H24</f>
        <v>762.5</v>
      </c>
      <c r="I25" s="123">
        <f t="shared" si="8"/>
        <v>0</v>
      </c>
      <c r="J25" s="123">
        <f t="shared" si="8"/>
        <v>0</v>
      </c>
      <c r="K25" s="123">
        <f t="shared" si="8"/>
        <v>0</v>
      </c>
      <c r="L25" s="123">
        <f t="shared" si="8"/>
        <v>800.625</v>
      </c>
      <c r="M25" s="123">
        <f t="shared" si="8"/>
        <v>840.65625</v>
      </c>
      <c r="N25" s="209">
        <f t="shared" si="1"/>
        <v>2403.78125</v>
      </c>
      <c r="O25" s="388"/>
      <c r="P25" s="547"/>
      <c r="Q25" s="633"/>
      <c r="R25" s="633"/>
      <c r="S25" s="633"/>
      <c r="T25" s="431"/>
      <c r="U25" s="627"/>
    </row>
    <row r="26" spans="1:21" ht="12.75" x14ac:dyDescent="0.2">
      <c r="A26" s="447"/>
      <c r="B26" s="448"/>
      <c r="C26" s="591"/>
      <c r="D26" s="636"/>
      <c r="E26" s="449"/>
      <c r="F26" s="596"/>
      <c r="G26" s="130" t="s">
        <v>53</v>
      </c>
      <c r="H26" s="119">
        <v>2</v>
      </c>
      <c r="I26" s="119"/>
      <c r="J26" s="119"/>
      <c r="K26" s="119"/>
      <c r="L26" s="208">
        <f>H26*1.05</f>
        <v>2.1</v>
      </c>
      <c r="M26" s="208">
        <f>L26*1.05</f>
        <v>2.2050000000000001</v>
      </c>
      <c r="N26" s="208">
        <f t="shared" si="1"/>
        <v>6.3049999999999997</v>
      </c>
      <c r="O26" s="379"/>
      <c r="P26" s="537"/>
      <c r="Q26" s="634"/>
      <c r="R26" s="634"/>
      <c r="S26" s="634"/>
      <c r="T26" s="431"/>
      <c r="U26" s="627"/>
    </row>
    <row r="27" spans="1:21" ht="14.25" customHeight="1" x14ac:dyDescent="0.2">
      <c r="A27" s="447"/>
      <c r="B27" s="448"/>
      <c r="C27" s="591"/>
      <c r="D27" s="636"/>
      <c r="E27" s="449"/>
      <c r="F27" s="596"/>
      <c r="G27" s="126" t="s">
        <v>23</v>
      </c>
      <c r="H27" s="123">
        <f t="shared" ref="H27:M27" si="9">+H26</f>
        <v>2</v>
      </c>
      <c r="I27" s="123">
        <f t="shared" si="9"/>
        <v>0</v>
      </c>
      <c r="J27" s="123">
        <f t="shared" si="9"/>
        <v>0</v>
      </c>
      <c r="K27" s="123">
        <f t="shared" si="9"/>
        <v>0</v>
      </c>
      <c r="L27" s="123">
        <f t="shared" si="9"/>
        <v>2.1</v>
      </c>
      <c r="M27" s="123">
        <f t="shared" si="9"/>
        <v>2.2050000000000001</v>
      </c>
      <c r="N27" s="209">
        <f t="shared" si="1"/>
        <v>6.3049999999999997</v>
      </c>
      <c r="O27" s="378" t="s">
        <v>286</v>
      </c>
      <c r="P27" s="380" t="s">
        <v>45</v>
      </c>
      <c r="Q27" s="628">
        <v>24</v>
      </c>
      <c r="R27" s="628">
        <v>24</v>
      </c>
      <c r="S27" s="628">
        <v>24</v>
      </c>
      <c r="T27" s="431"/>
      <c r="U27" s="627"/>
    </row>
    <row r="28" spans="1:21" ht="14.25" customHeight="1" x14ac:dyDescent="0.2">
      <c r="A28" s="447"/>
      <c r="B28" s="448"/>
      <c r="C28" s="591"/>
      <c r="D28" s="636"/>
      <c r="E28" s="449"/>
      <c r="F28" s="596"/>
      <c r="G28" s="130" t="s">
        <v>95</v>
      </c>
      <c r="H28" s="119">
        <v>34.299999999999997</v>
      </c>
      <c r="I28" s="119"/>
      <c r="J28" s="119"/>
      <c r="K28" s="119"/>
      <c r="L28" s="208">
        <f>H28*1.05</f>
        <v>36.015000000000001</v>
      </c>
      <c r="M28" s="208">
        <f>L28*1.05</f>
        <v>37.815750000000001</v>
      </c>
      <c r="N28" s="208">
        <f t="shared" si="1"/>
        <v>108.13074999999999</v>
      </c>
      <c r="O28" s="388"/>
      <c r="P28" s="389"/>
      <c r="Q28" s="629"/>
      <c r="R28" s="629"/>
      <c r="S28" s="629"/>
      <c r="T28" s="431"/>
      <c r="U28" s="627"/>
    </row>
    <row r="29" spans="1:21" ht="14.25" customHeight="1" x14ac:dyDescent="0.2">
      <c r="A29" s="405"/>
      <c r="B29" s="407"/>
      <c r="C29" s="545"/>
      <c r="D29" s="637"/>
      <c r="E29" s="411"/>
      <c r="F29" s="597"/>
      <c r="G29" s="126" t="s">
        <v>23</v>
      </c>
      <c r="H29" s="123">
        <f>SUM(H28)</f>
        <v>34.299999999999997</v>
      </c>
      <c r="I29" s="123">
        <f t="shared" ref="I29:M29" si="10">SUM(I28)</f>
        <v>0</v>
      </c>
      <c r="J29" s="123">
        <f t="shared" si="10"/>
        <v>0</v>
      </c>
      <c r="K29" s="123">
        <f t="shared" si="10"/>
        <v>0</v>
      </c>
      <c r="L29" s="123">
        <f t="shared" si="10"/>
        <v>36.015000000000001</v>
      </c>
      <c r="M29" s="123">
        <f t="shared" si="10"/>
        <v>37.815750000000001</v>
      </c>
      <c r="N29" s="209">
        <f t="shared" si="1"/>
        <v>108.13074999999999</v>
      </c>
      <c r="O29" s="379"/>
      <c r="P29" s="381"/>
      <c r="Q29" s="630"/>
      <c r="R29" s="630"/>
      <c r="S29" s="630"/>
      <c r="T29" s="402"/>
      <c r="U29" s="627"/>
    </row>
    <row r="30" spans="1:21" ht="12.75" x14ac:dyDescent="0.2">
      <c r="A30" s="404" t="s">
        <v>36</v>
      </c>
      <c r="B30" s="406" t="s">
        <v>46</v>
      </c>
      <c r="C30" s="544" t="s">
        <v>169</v>
      </c>
      <c r="D30" s="617" t="s">
        <v>287</v>
      </c>
      <c r="E30" s="410" t="s">
        <v>70</v>
      </c>
      <c r="F30" s="595">
        <v>300031618</v>
      </c>
      <c r="G30" s="130" t="s">
        <v>40</v>
      </c>
      <c r="H30" s="119">
        <v>214.5</v>
      </c>
      <c r="I30" s="119"/>
      <c r="J30" s="119"/>
      <c r="K30" s="119"/>
      <c r="L30" s="208">
        <f>H30*1.05</f>
        <v>225.22500000000002</v>
      </c>
      <c r="M30" s="208">
        <f>L30*1.05</f>
        <v>236.48625000000004</v>
      </c>
      <c r="N30" s="208">
        <f t="shared" si="1"/>
        <v>676.21125000000006</v>
      </c>
      <c r="O30" s="378" t="s">
        <v>281</v>
      </c>
      <c r="P30" s="380" t="s">
        <v>267</v>
      </c>
      <c r="Q30" s="380">
        <v>8.25</v>
      </c>
      <c r="R30" s="380">
        <v>8.25</v>
      </c>
      <c r="S30" s="380">
        <v>8.25</v>
      </c>
      <c r="T30" s="401" t="s">
        <v>288</v>
      </c>
      <c r="U30" s="627"/>
    </row>
    <row r="31" spans="1:21" ht="12.95" customHeight="1" x14ac:dyDescent="0.2">
      <c r="A31" s="447"/>
      <c r="B31" s="448"/>
      <c r="C31" s="591"/>
      <c r="D31" s="618"/>
      <c r="E31" s="449"/>
      <c r="F31" s="596"/>
      <c r="G31" s="126" t="s">
        <v>23</v>
      </c>
      <c r="H31" s="123">
        <f t="shared" ref="H31:M31" si="11">+H30</f>
        <v>214.5</v>
      </c>
      <c r="I31" s="123">
        <f t="shared" si="11"/>
        <v>0</v>
      </c>
      <c r="J31" s="123">
        <f t="shared" si="11"/>
        <v>0</v>
      </c>
      <c r="K31" s="123">
        <f t="shared" si="11"/>
        <v>0</v>
      </c>
      <c r="L31" s="123">
        <f t="shared" si="11"/>
        <v>225.22500000000002</v>
      </c>
      <c r="M31" s="123">
        <f t="shared" si="11"/>
        <v>236.48625000000004</v>
      </c>
      <c r="N31" s="209">
        <f t="shared" si="1"/>
        <v>676.21125000000006</v>
      </c>
      <c r="O31" s="388"/>
      <c r="P31" s="389"/>
      <c r="Q31" s="389"/>
      <c r="R31" s="389"/>
      <c r="S31" s="389"/>
      <c r="T31" s="431"/>
      <c r="U31" s="627"/>
    </row>
    <row r="32" spans="1:21" ht="12.75" x14ac:dyDescent="0.2">
      <c r="A32" s="447"/>
      <c r="B32" s="448"/>
      <c r="C32" s="591"/>
      <c r="D32" s="618"/>
      <c r="E32" s="449"/>
      <c r="F32" s="596"/>
      <c r="G32" s="130" t="s">
        <v>53</v>
      </c>
      <c r="H32" s="119">
        <v>4.9000000000000004</v>
      </c>
      <c r="I32" s="119"/>
      <c r="J32" s="119"/>
      <c r="K32" s="119"/>
      <c r="L32" s="208">
        <f>H32*1.05</f>
        <v>5.1450000000000005</v>
      </c>
      <c r="M32" s="208">
        <f>L32*1.05</f>
        <v>5.4022500000000004</v>
      </c>
      <c r="N32" s="208">
        <f t="shared" si="1"/>
        <v>15.447250000000002</v>
      </c>
      <c r="O32" s="379"/>
      <c r="P32" s="381"/>
      <c r="Q32" s="381"/>
      <c r="R32" s="381"/>
      <c r="S32" s="389"/>
      <c r="T32" s="431"/>
      <c r="U32" s="627"/>
    </row>
    <row r="33" spans="1:21" ht="14.25" customHeight="1" x14ac:dyDescent="0.2">
      <c r="A33" s="447"/>
      <c r="B33" s="448"/>
      <c r="C33" s="591"/>
      <c r="D33" s="618"/>
      <c r="E33" s="449"/>
      <c r="F33" s="596"/>
      <c r="G33" s="126" t="s">
        <v>23</v>
      </c>
      <c r="H33" s="123">
        <f>+H32</f>
        <v>4.9000000000000004</v>
      </c>
      <c r="I33" s="123">
        <f t="shared" ref="I33:M33" si="12">+I32</f>
        <v>0</v>
      </c>
      <c r="J33" s="123">
        <f t="shared" si="12"/>
        <v>0</v>
      </c>
      <c r="K33" s="123">
        <f t="shared" si="12"/>
        <v>0</v>
      </c>
      <c r="L33" s="123">
        <f t="shared" si="12"/>
        <v>5.1450000000000005</v>
      </c>
      <c r="M33" s="123">
        <f t="shared" si="12"/>
        <v>5.4022500000000004</v>
      </c>
      <c r="N33" s="209">
        <f t="shared" si="1"/>
        <v>15.447250000000002</v>
      </c>
      <c r="O33" s="378" t="s">
        <v>289</v>
      </c>
      <c r="P33" s="380" t="s">
        <v>279</v>
      </c>
      <c r="Q33" s="628">
        <v>22</v>
      </c>
      <c r="R33" s="639">
        <v>22</v>
      </c>
      <c r="S33" s="642">
        <v>22</v>
      </c>
      <c r="T33" s="495"/>
      <c r="U33" s="627"/>
    </row>
    <row r="34" spans="1:21" ht="14.25" customHeight="1" x14ac:dyDescent="0.2">
      <c r="A34" s="447"/>
      <c r="B34" s="448"/>
      <c r="C34" s="591"/>
      <c r="D34" s="618"/>
      <c r="E34" s="449"/>
      <c r="F34" s="596"/>
      <c r="G34" s="130" t="s">
        <v>95</v>
      </c>
      <c r="H34" s="119">
        <v>9.4</v>
      </c>
      <c r="I34" s="119"/>
      <c r="J34" s="119"/>
      <c r="K34" s="119"/>
      <c r="L34" s="208">
        <f>H34*1.05</f>
        <v>9.870000000000001</v>
      </c>
      <c r="M34" s="208">
        <f>L34*1.05</f>
        <v>10.363500000000002</v>
      </c>
      <c r="N34" s="208">
        <f t="shared" si="1"/>
        <v>29.633500000000005</v>
      </c>
      <c r="O34" s="388"/>
      <c r="P34" s="389"/>
      <c r="Q34" s="629"/>
      <c r="R34" s="640"/>
      <c r="S34" s="642"/>
      <c r="T34" s="495"/>
      <c r="U34" s="627"/>
    </row>
    <row r="35" spans="1:21" ht="14.25" customHeight="1" x14ac:dyDescent="0.2">
      <c r="A35" s="405"/>
      <c r="B35" s="407"/>
      <c r="C35" s="545"/>
      <c r="D35" s="638"/>
      <c r="E35" s="411"/>
      <c r="F35" s="597"/>
      <c r="G35" s="126" t="s">
        <v>23</v>
      </c>
      <c r="H35" s="123">
        <f>SUM(H34)</f>
        <v>9.4</v>
      </c>
      <c r="I35" s="123">
        <f t="shared" ref="I35:M35" si="13">SUM(I34)</f>
        <v>0</v>
      </c>
      <c r="J35" s="123">
        <f t="shared" si="13"/>
        <v>0</v>
      </c>
      <c r="K35" s="123">
        <f t="shared" si="13"/>
        <v>0</v>
      </c>
      <c r="L35" s="123">
        <f t="shared" si="13"/>
        <v>9.870000000000001</v>
      </c>
      <c r="M35" s="123">
        <f t="shared" si="13"/>
        <v>10.363500000000002</v>
      </c>
      <c r="N35" s="209">
        <f t="shared" si="1"/>
        <v>29.633500000000005</v>
      </c>
      <c r="O35" s="379"/>
      <c r="P35" s="381"/>
      <c r="Q35" s="630"/>
      <c r="R35" s="641"/>
      <c r="S35" s="642"/>
      <c r="T35" s="465"/>
      <c r="U35" s="627"/>
    </row>
    <row r="36" spans="1:21" ht="38.25" x14ac:dyDescent="0.2">
      <c r="A36" s="404" t="s">
        <v>36</v>
      </c>
      <c r="B36" s="406" t="s">
        <v>46</v>
      </c>
      <c r="C36" s="408" t="s">
        <v>107</v>
      </c>
      <c r="D36" s="643" t="s">
        <v>290</v>
      </c>
      <c r="E36" s="410" t="s">
        <v>70</v>
      </c>
      <c r="F36" s="397">
        <v>188718713</v>
      </c>
      <c r="G36" s="130" t="s">
        <v>40</v>
      </c>
      <c r="H36" s="119">
        <v>51.4</v>
      </c>
      <c r="I36" s="119"/>
      <c r="J36" s="119"/>
      <c r="K36" s="119"/>
      <c r="L36" s="208">
        <f>H36*1.05</f>
        <v>53.97</v>
      </c>
      <c r="M36" s="208">
        <f>L36*1.05</f>
        <v>56.668500000000002</v>
      </c>
      <c r="N36" s="208">
        <f t="shared" si="1"/>
        <v>162.0385</v>
      </c>
      <c r="O36" s="186" t="s">
        <v>291</v>
      </c>
      <c r="P36" s="187" t="s">
        <v>45</v>
      </c>
      <c r="Q36" s="188">
        <v>21</v>
      </c>
      <c r="R36" s="188">
        <v>21</v>
      </c>
      <c r="S36" s="171">
        <v>21</v>
      </c>
      <c r="T36" s="496" t="s">
        <v>244</v>
      </c>
      <c r="U36" s="627"/>
    </row>
    <row r="37" spans="1:21" ht="12.75" x14ac:dyDescent="0.2">
      <c r="A37" s="447"/>
      <c r="B37" s="448"/>
      <c r="C37" s="427"/>
      <c r="D37" s="644"/>
      <c r="E37" s="449"/>
      <c r="F37" s="457"/>
      <c r="G37" s="130" t="s">
        <v>95</v>
      </c>
      <c r="H37" s="119">
        <v>114.4</v>
      </c>
      <c r="I37" s="119"/>
      <c r="J37" s="119"/>
      <c r="K37" s="119"/>
      <c r="L37" s="208">
        <f>H37*1.05</f>
        <v>120.12</v>
      </c>
      <c r="M37" s="208">
        <f>L37*1.05</f>
        <v>126.126</v>
      </c>
      <c r="N37" s="208">
        <f t="shared" si="1"/>
        <v>360.64600000000002</v>
      </c>
      <c r="O37" s="462" t="s">
        <v>292</v>
      </c>
      <c r="P37" s="390" t="s">
        <v>279</v>
      </c>
      <c r="Q37" s="518">
        <v>107</v>
      </c>
      <c r="R37" s="518">
        <v>112</v>
      </c>
      <c r="S37" s="518">
        <v>117</v>
      </c>
      <c r="T37" s="496"/>
      <c r="U37" s="627"/>
    </row>
    <row r="38" spans="1:21" ht="31.5" customHeight="1" x14ac:dyDescent="0.2">
      <c r="A38" s="405"/>
      <c r="B38" s="407"/>
      <c r="C38" s="409"/>
      <c r="D38" s="645"/>
      <c r="E38" s="411"/>
      <c r="F38" s="398"/>
      <c r="G38" s="126" t="s">
        <v>23</v>
      </c>
      <c r="H38" s="123">
        <f>+H36+H37</f>
        <v>165.8</v>
      </c>
      <c r="I38" s="123">
        <f t="shared" ref="I38:M38" si="14">+I36+I37</f>
        <v>0</v>
      </c>
      <c r="J38" s="123">
        <f t="shared" si="14"/>
        <v>0</v>
      </c>
      <c r="K38" s="123">
        <f t="shared" si="14"/>
        <v>0</v>
      </c>
      <c r="L38" s="123">
        <f t="shared" si="14"/>
        <v>174.09</v>
      </c>
      <c r="M38" s="123">
        <f t="shared" si="14"/>
        <v>182.7945</v>
      </c>
      <c r="N38" s="209">
        <f t="shared" si="1"/>
        <v>522.68450000000007</v>
      </c>
      <c r="O38" s="463"/>
      <c r="P38" s="391"/>
      <c r="Q38" s="520"/>
      <c r="R38" s="520"/>
      <c r="S38" s="520"/>
      <c r="T38" s="496"/>
      <c r="U38" s="627"/>
    </row>
    <row r="39" spans="1:21" ht="14.25" customHeight="1" x14ac:dyDescent="0.2">
      <c r="A39" s="115" t="s">
        <v>46</v>
      </c>
      <c r="B39" s="548" t="s">
        <v>293</v>
      </c>
      <c r="C39" s="549"/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550"/>
      <c r="U39" s="189"/>
    </row>
    <row r="40" spans="1:21" ht="14.25" customHeight="1" x14ac:dyDescent="0.2">
      <c r="A40" s="27" t="s">
        <v>46</v>
      </c>
      <c r="B40" s="32" t="s">
        <v>36</v>
      </c>
      <c r="C40" s="424" t="s">
        <v>294</v>
      </c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5"/>
      <c r="T40" s="426"/>
      <c r="U40" s="189"/>
    </row>
    <row r="41" spans="1:21" ht="12.75" x14ac:dyDescent="0.2">
      <c r="A41" s="404" t="s">
        <v>46</v>
      </c>
      <c r="B41" s="406" t="s">
        <v>36</v>
      </c>
      <c r="C41" s="408" t="s">
        <v>50</v>
      </c>
      <c r="D41" s="617" t="s">
        <v>295</v>
      </c>
      <c r="E41" s="544" t="s">
        <v>70</v>
      </c>
      <c r="F41" s="397">
        <v>188718713</v>
      </c>
      <c r="G41" s="130" t="s">
        <v>40</v>
      </c>
      <c r="H41" s="119">
        <v>1710</v>
      </c>
      <c r="I41" s="119"/>
      <c r="J41" s="119"/>
      <c r="K41" s="119"/>
      <c r="L41" s="208">
        <f>H41*1.05</f>
        <v>1795.5</v>
      </c>
      <c r="M41" s="208">
        <f>L41*1.05</f>
        <v>1885.2750000000001</v>
      </c>
      <c r="N41" s="208">
        <f t="shared" ref="N41:N81" si="15">SUM(I41+L41+M41)+H41</f>
        <v>5390.7749999999996</v>
      </c>
      <c r="O41" s="86"/>
      <c r="P41" s="128"/>
      <c r="Q41" s="188"/>
      <c r="R41" s="188"/>
      <c r="S41" s="188"/>
      <c r="T41" s="496" t="s">
        <v>244</v>
      </c>
      <c r="U41" s="627"/>
    </row>
    <row r="42" spans="1:21" ht="12.75" x14ac:dyDescent="0.2">
      <c r="A42" s="405"/>
      <c r="B42" s="407"/>
      <c r="C42" s="409"/>
      <c r="D42" s="638"/>
      <c r="E42" s="545"/>
      <c r="F42" s="398"/>
      <c r="G42" s="126" t="s">
        <v>23</v>
      </c>
      <c r="H42" s="123">
        <f>+H41</f>
        <v>1710</v>
      </c>
      <c r="I42" s="123">
        <f t="shared" ref="I42:M42" si="16">+I41</f>
        <v>0</v>
      </c>
      <c r="J42" s="123">
        <f t="shared" si="16"/>
        <v>0</v>
      </c>
      <c r="K42" s="123">
        <f t="shared" si="16"/>
        <v>0</v>
      </c>
      <c r="L42" s="123">
        <f t="shared" si="16"/>
        <v>1795.5</v>
      </c>
      <c r="M42" s="123">
        <f t="shared" si="16"/>
        <v>1885.2750000000001</v>
      </c>
      <c r="N42" s="209">
        <f t="shared" si="15"/>
        <v>5390.7749999999996</v>
      </c>
      <c r="O42" s="186" t="s">
        <v>296</v>
      </c>
      <c r="P42" s="128" t="s">
        <v>45</v>
      </c>
      <c r="Q42" s="188">
        <v>1150</v>
      </c>
      <c r="R42" s="188">
        <v>1120</v>
      </c>
      <c r="S42" s="188">
        <v>1120</v>
      </c>
      <c r="T42" s="496"/>
      <c r="U42" s="627"/>
    </row>
    <row r="43" spans="1:21" ht="12.75" x14ac:dyDescent="0.2">
      <c r="A43" s="404" t="s">
        <v>46</v>
      </c>
      <c r="B43" s="406" t="s">
        <v>36</v>
      </c>
      <c r="C43" s="408" t="s">
        <v>55</v>
      </c>
      <c r="D43" s="635" t="s">
        <v>297</v>
      </c>
      <c r="E43" s="410" t="s">
        <v>70</v>
      </c>
      <c r="F43" s="397">
        <v>188718713</v>
      </c>
      <c r="G43" s="130" t="s">
        <v>95</v>
      </c>
      <c r="H43" s="119">
        <v>152.4</v>
      </c>
      <c r="I43" s="119"/>
      <c r="J43" s="119"/>
      <c r="K43" s="119"/>
      <c r="L43" s="208">
        <f>H43*1.05</f>
        <v>160.02000000000001</v>
      </c>
      <c r="M43" s="208">
        <f>L43*1.05</f>
        <v>168.02100000000002</v>
      </c>
      <c r="N43" s="208">
        <f t="shared" si="15"/>
        <v>480.44100000000003</v>
      </c>
      <c r="O43" s="378" t="s">
        <v>298</v>
      </c>
      <c r="P43" s="536" t="s">
        <v>45</v>
      </c>
      <c r="Q43" s="632">
        <v>1880</v>
      </c>
      <c r="R43" s="632">
        <v>1800</v>
      </c>
      <c r="S43" s="632">
        <v>1750</v>
      </c>
      <c r="T43" s="496" t="s">
        <v>244</v>
      </c>
      <c r="U43" s="189"/>
    </row>
    <row r="44" spans="1:21" ht="12.75" x14ac:dyDescent="0.2">
      <c r="A44" s="405"/>
      <c r="B44" s="407"/>
      <c r="C44" s="409"/>
      <c r="D44" s="637"/>
      <c r="E44" s="411"/>
      <c r="F44" s="398"/>
      <c r="G44" s="126" t="s">
        <v>23</v>
      </c>
      <c r="H44" s="123">
        <f>+H43</f>
        <v>152.4</v>
      </c>
      <c r="I44" s="123">
        <f t="shared" ref="I44:M44" si="17">+I43</f>
        <v>0</v>
      </c>
      <c r="J44" s="123">
        <f t="shared" si="17"/>
        <v>0</v>
      </c>
      <c r="K44" s="123">
        <f t="shared" si="17"/>
        <v>0</v>
      </c>
      <c r="L44" s="123">
        <f t="shared" si="17"/>
        <v>160.02000000000001</v>
      </c>
      <c r="M44" s="123">
        <f t="shared" si="17"/>
        <v>168.02100000000002</v>
      </c>
      <c r="N44" s="209">
        <f t="shared" si="15"/>
        <v>480.44100000000003</v>
      </c>
      <c r="O44" s="379"/>
      <c r="P44" s="537"/>
      <c r="Q44" s="634"/>
      <c r="R44" s="634"/>
      <c r="S44" s="634"/>
      <c r="T44" s="496"/>
      <c r="U44" s="189"/>
    </row>
    <row r="45" spans="1:21" ht="12.75" x14ac:dyDescent="0.2">
      <c r="A45" s="404" t="s">
        <v>46</v>
      </c>
      <c r="B45" s="406" t="s">
        <v>36</v>
      </c>
      <c r="C45" s="408" t="s">
        <v>169</v>
      </c>
      <c r="D45" s="635" t="s">
        <v>299</v>
      </c>
      <c r="E45" s="410" t="s">
        <v>70</v>
      </c>
      <c r="F45" s="397">
        <v>188718713</v>
      </c>
      <c r="G45" s="130" t="s">
        <v>40</v>
      </c>
      <c r="H45" s="119">
        <v>270</v>
      </c>
      <c r="I45" s="119"/>
      <c r="J45" s="119"/>
      <c r="K45" s="119"/>
      <c r="L45" s="208">
        <f>H45*1.05</f>
        <v>283.5</v>
      </c>
      <c r="M45" s="208">
        <f>L45*1.05</f>
        <v>297.67500000000001</v>
      </c>
      <c r="N45" s="208">
        <f t="shared" si="15"/>
        <v>851.17499999999995</v>
      </c>
      <c r="O45" s="378" t="s">
        <v>300</v>
      </c>
      <c r="P45" s="536" t="s">
        <v>45</v>
      </c>
      <c r="Q45" s="632">
        <v>820</v>
      </c>
      <c r="R45" s="632">
        <v>800</v>
      </c>
      <c r="S45" s="632">
        <v>780</v>
      </c>
      <c r="T45" s="496" t="s">
        <v>301</v>
      </c>
      <c r="U45" s="627"/>
    </row>
    <row r="46" spans="1:21" ht="12.75" x14ac:dyDescent="0.2">
      <c r="A46" s="405"/>
      <c r="B46" s="407"/>
      <c r="C46" s="409"/>
      <c r="D46" s="637"/>
      <c r="E46" s="411"/>
      <c r="F46" s="398"/>
      <c r="G46" s="126" t="s">
        <v>23</v>
      </c>
      <c r="H46" s="123">
        <f>+H45</f>
        <v>270</v>
      </c>
      <c r="I46" s="123">
        <f t="shared" ref="I46:M46" si="18">+I45</f>
        <v>0</v>
      </c>
      <c r="J46" s="123">
        <f t="shared" si="18"/>
        <v>0</v>
      </c>
      <c r="K46" s="123">
        <f t="shared" si="18"/>
        <v>0</v>
      </c>
      <c r="L46" s="123">
        <f t="shared" si="18"/>
        <v>283.5</v>
      </c>
      <c r="M46" s="123">
        <f t="shared" si="18"/>
        <v>297.67500000000001</v>
      </c>
      <c r="N46" s="209">
        <f t="shared" si="15"/>
        <v>851.17499999999995</v>
      </c>
      <c r="O46" s="379"/>
      <c r="P46" s="537"/>
      <c r="Q46" s="634"/>
      <c r="R46" s="634"/>
      <c r="S46" s="634"/>
      <c r="T46" s="496"/>
      <c r="U46" s="627"/>
    </row>
    <row r="47" spans="1:21" ht="15" customHeight="1" x14ac:dyDescent="0.2">
      <c r="A47" s="404" t="s">
        <v>46</v>
      </c>
      <c r="B47" s="406" t="s">
        <v>36</v>
      </c>
      <c r="C47" s="408" t="s">
        <v>107</v>
      </c>
      <c r="D47" s="646" t="s">
        <v>302</v>
      </c>
      <c r="E47" s="503" t="s">
        <v>70</v>
      </c>
      <c r="F47" s="397">
        <v>188718713</v>
      </c>
      <c r="G47" s="130" t="s">
        <v>95</v>
      </c>
      <c r="H47" s="119">
        <v>245.9</v>
      </c>
      <c r="I47" s="119"/>
      <c r="J47" s="119"/>
      <c r="K47" s="119"/>
      <c r="L47" s="208">
        <f>H47*1.05</f>
        <v>258.19499999999999</v>
      </c>
      <c r="M47" s="208">
        <f>L47*1.05</f>
        <v>271.10475000000002</v>
      </c>
      <c r="N47" s="208">
        <f t="shared" si="15"/>
        <v>775.19974999999999</v>
      </c>
      <c r="O47" s="378" t="s">
        <v>303</v>
      </c>
      <c r="P47" s="536" t="s">
        <v>45</v>
      </c>
      <c r="Q47" s="632">
        <v>470</v>
      </c>
      <c r="R47" s="632">
        <v>450</v>
      </c>
      <c r="S47" s="632">
        <v>430</v>
      </c>
      <c r="T47" s="496" t="s">
        <v>244</v>
      </c>
      <c r="U47" s="189"/>
    </row>
    <row r="48" spans="1:21" ht="15" customHeight="1" x14ac:dyDescent="0.2">
      <c r="A48" s="405"/>
      <c r="B48" s="407"/>
      <c r="C48" s="409"/>
      <c r="D48" s="647"/>
      <c r="E48" s="504"/>
      <c r="F48" s="398"/>
      <c r="G48" s="126" t="s">
        <v>23</v>
      </c>
      <c r="H48" s="123">
        <f>+H47</f>
        <v>245.9</v>
      </c>
      <c r="I48" s="123">
        <f t="shared" ref="I48:M48" si="19">+I47</f>
        <v>0</v>
      </c>
      <c r="J48" s="123">
        <f t="shared" si="19"/>
        <v>0</v>
      </c>
      <c r="K48" s="123">
        <f t="shared" si="19"/>
        <v>0</v>
      </c>
      <c r="L48" s="123">
        <f t="shared" si="19"/>
        <v>258.19499999999999</v>
      </c>
      <c r="M48" s="123">
        <f t="shared" si="19"/>
        <v>271.10475000000002</v>
      </c>
      <c r="N48" s="209">
        <f t="shared" si="15"/>
        <v>775.19974999999999</v>
      </c>
      <c r="O48" s="379"/>
      <c r="P48" s="537"/>
      <c r="Q48" s="634"/>
      <c r="R48" s="634"/>
      <c r="S48" s="634"/>
      <c r="T48" s="496"/>
      <c r="U48" s="189"/>
    </row>
    <row r="49" spans="1:21" ht="12.75" x14ac:dyDescent="0.2">
      <c r="A49" s="404" t="s">
        <v>46</v>
      </c>
      <c r="B49" s="406" t="s">
        <v>36</v>
      </c>
      <c r="C49" s="408" t="s">
        <v>59</v>
      </c>
      <c r="D49" s="635" t="s">
        <v>304</v>
      </c>
      <c r="E49" s="410" t="s">
        <v>70</v>
      </c>
      <c r="F49" s="397">
        <v>188718713</v>
      </c>
      <c r="G49" s="130" t="s">
        <v>40</v>
      </c>
      <c r="H49" s="119">
        <v>120</v>
      </c>
      <c r="I49" s="119"/>
      <c r="J49" s="119"/>
      <c r="K49" s="119"/>
      <c r="L49" s="208">
        <f>H49*1.05</f>
        <v>126</v>
      </c>
      <c r="M49" s="208">
        <f>L49*1.05</f>
        <v>132.30000000000001</v>
      </c>
      <c r="N49" s="208">
        <f t="shared" si="15"/>
        <v>378.3</v>
      </c>
      <c r="O49" s="378" t="s">
        <v>305</v>
      </c>
      <c r="P49" s="536" t="s">
        <v>45</v>
      </c>
      <c r="Q49" s="632">
        <v>350</v>
      </c>
      <c r="R49" s="632">
        <v>350</v>
      </c>
      <c r="S49" s="632">
        <v>370</v>
      </c>
      <c r="T49" s="496" t="s">
        <v>244</v>
      </c>
      <c r="U49" s="189"/>
    </row>
    <row r="50" spans="1:21" ht="12.75" x14ac:dyDescent="0.2">
      <c r="A50" s="405"/>
      <c r="B50" s="407"/>
      <c r="C50" s="409"/>
      <c r="D50" s="637"/>
      <c r="E50" s="411"/>
      <c r="F50" s="398"/>
      <c r="G50" s="126" t="s">
        <v>23</v>
      </c>
      <c r="H50" s="123">
        <f>+H49</f>
        <v>120</v>
      </c>
      <c r="I50" s="123">
        <f t="shared" ref="I50:M50" si="20">+I49</f>
        <v>0</v>
      </c>
      <c r="J50" s="123">
        <f t="shared" si="20"/>
        <v>0</v>
      </c>
      <c r="K50" s="123">
        <f t="shared" si="20"/>
        <v>0</v>
      </c>
      <c r="L50" s="123">
        <f t="shared" si="20"/>
        <v>126</v>
      </c>
      <c r="M50" s="123">
        <f t="shared" si="20"/>
        <v>132.30000000000001</v>
      </c>
      <c r="N50" s="209">
        <f t="shared" si="15"/>
        <v>378.3</v>
      </c>
      <c r="O50" s="379"/>
      <c r="P50" s="537"/>
      <c r="Q50" s="634"/>
      <c r="R50" s="634"/>
      <c r="S50" s="634"/>
      <c r="T50" s="496"/>
      <c r="U50" s="189"/>
    </row>
    <row r="51" spans="1:21" ht="12.75" x14ac:dyDescent="0.2">
      <c r="A51" s="404" t="s">
        <v>46</v>
      </c>
      <c r="B51" s="406" t="s">
        <v>36</v>
      </c>
      <c r="C51" s="408" t="s">
        <v>66</v>
      </c>
      <c r="D51" s="617" t="s">
        <v>306</v>
      </c>
      <c r="E51" s="410" t="s">
        <v>70</v>
      </c>
      <c r="F51" s="397">
        <v>188718713</v>
      </c>
      <c r="G51" s="130" t="s">
        <v>95</v>
      </c>
      <c r="H51" s="119"/>
      <c r="I51" s="119"/>
      <c r="J51" s="119"/>
      <c r="K51" s="119"/>
      <c r="L51" s="7">
        <f>+(H51*0.05)+H51</f>
        <v>0</v>
      </c>
      <c r="M51" s="7">
        <f>+H51*0.1+H51</f>
        <v>0</v>
      </c>
      <c r="N51" s="208">
        <f t="shared" si="15"/>
        <v>0</v>
      </c>
      <c r="O51" s="378" t="s">
        <v>307</v>
      </c>
      <c r="P51" s="536" t="s">
        <v>62</v>
      </c>
      <c r="Q51" s="632">
        <v>700</v>
      </c>
      <c r="R51" s="632">
        <v>700</v>
      </c>
      <c r="S51" s="632">
        <v>720</v>
      </c>
      <c r="T51" s="401" t="s">
        <v>244</v>
      </c>
      <c r="U51" s="627"/>
    </row>
    <row r="52" spans="1:21" ht="12.75" x14ac:dyDescent="0.2">
      <c r="A52" s="447"/>
      <c r="B52" s="448"/>
      <c r="C52" s="427"/>
      <c r="D52" s="618"/>
      <c r="E52" s="449"/>
      <c r="F52" s="457"/>
      <c r="G52" s="126" t="s">
        <v>23</v>
      </c>
      <c r="H52" s="123">
        <f>+H51</f>
        <v>0</v>
      </c>
      <c r="I52" s="123">
        <f t="shared" ref="I52:M52" si="21">+I51</f>
        <v>0</v>
      </c>
      <c r="J52" s="123">
        <f t="shared" si="21"/>
        <v>0</v>
      </c>
      <c r="K52" s="123">
        <f t="shared" si="21"/>
        <v>0</v>
      </c>
      <c r="L52" s="123">
        <f t="shared" si="21"/>
        <v>0</v>
      </c>
      <c r="M52" s="123">
        <f t="shared" si="21"/>
        <v>0</v>
      </c>
      <c r="N52" s="208">
        <f t="shared" si="15"/>
        <v>0</v>
      </c>
      <c r="O52" s="388"/>
      <c r="P52" s="547"/>
      <c r="Q52" s="633"/>
      <c r="R52" s="633"/>
      <c r="S52" s="633"/>
      <c r="T52" s="431"/>
      <c r="U52" s="627"/>
    </row>
    <row r="53" spans="1:21" ht="12.75" x14ac:dyDescent="0.2">
      <c r="A53" s="447"/>
      <c r="B53" s="448"/>
      <c r="C53" s="427"/>
      <c r="D53" s="618"/>
      <c r="E53" s="449"/>
      <c r="F53" s="457"/>
      <c r="G53" s="130" t="s">
        <v>40</v>
      </c>
      <c r="H53" s="119">
        <v>200</v>
      </c>
      <c r="I53" s="119"/>
      <c r="J53" s="119"/>
      <c r="K53" s="119"/>
      <c r="L53" s="208">
        <f>H53*1.05</f>
        <v>210</v>
      </c>
      <c r="M53" s="208">
        <f>L53*1.05</f>
        <v>220.5</v>
      </c>
      <c r="N53" s="208">
        <f t="shared" si="15"/>
        <v>630.5</v>
      </c>
      <c r="O53" s="388"/>
      <c r="P53" s="547"/>
      <c r="Q53" s="633"/>
      <c r="R53" s="633"/>
      <c r="S53" s="633"/>
      <c r="T53" s="431"/>
      <c r="U53" s="627"/>
    </row>
    <row r="54" spans="1:21" ht="12.75" x14ac:dyDescent="0.2">
      <c r="A54" s="405"/>
      <c r="B54" s="407"/>
      <c r="C54" s="409"/>
      <c r="D54" s="638"/>
      <c r="E54" s="411"/>
      <c r="F54" s="398"/>
      <c r="G54" s="126" t="s">
        <v>23</v>
      </c>
      <c r="H54" s="123">
        <f>+H53</f>
        <v>200</v>
      </c>
      <c r="I54" s="123">
        <f t="shared" ref="I54:M54" si="22">+I53</f>
        <v>0</v>
      </c>
      <c r="J54" s="123">
        <f t="shared" si="22"/>
        <v>0</v>
      </c>
      <c r="K54" s="123">
        <f t="shared" si="22"/>
        <v>0</v>
      </c>
      <c r="L54" s="123">
        <f t="shared" si="22"/>
        <v>210</v>
      </c>
      <c r="M54" s="123">
        <f t="shared" si="22"/>
        <v>220.5</v>
      </c>
      <c r="N54" s="209">
        <f t="shared" si="15"/>
        <v>630.5</v>
      </c>
      <c r="O54" s="379"/>
      <c r="P54" s="537"/>
      <c r="Q54" s="634"/>
      <c r="R54" s="634"/>
      <c r="S54" s="634"/>
      <c r="T54" s="402"/>
      <c r="U54" s="627"/>
    </row>
    <row r="55" spans="1:21" ht="12.75" x14ac:dyDescent="0.2">
      <c r="A55" s="456" t="s">
        <v>46</v>
      </c>
      <c r="B55" s="443" t="s">
        <v>36</v>
      </c>
      <c r="C55" s="474" t="s">
        <v>114</v>
      </c>
      <c r="D55" s="648" t="s">
        <v>308</v>
      </c>
      <c r="E55" s="410" t="s">
        <v>70</v>
      </c>
      <c r="F55" s="595">
        <v>188718713</v>
      </c>
      <c r="G55" s="130" t="s">
        <v>95</v>
      </c>
      <c r="H55" s="119">
        <v>7.4</v>
      </c>
      <c r="I55" s="119"/>
      <c r="J55" s="119"/>
      <c r="K55" s="119"/>
      <c r="L55" s="208">
        <f>H55*1.05</f>
        <v>7.7700000000000005</v>
      </c>
      <c r="M55" s="208">
        <f>L55*1.05</f>
        <v>8.1585000000000001</v>
      </c>
      <c r="N55" s="208">
        <f t="shared" si="15"/>
        <v>23.328499999999998</v>
      </c>
      <c r="O55" s="378" t="s">
        <v>309</v>
      </c>
      <c r="P55" s="380" t="s">
        <v>45</v>
      </c>
      <c r="Q55" s="628">
        <v>17</v>
      </c>
      <c r="R55" s="628">
        <v>17</v>
      </c>
      <c r="S55" s="628">
        <v>17</v>
      </c>
      <c r="T55" s="401" t="s">
        <v>244</v>
      </c>
      <c r="U55" s="627"/>
    </row>
    <row r="56" spans="1:21" ht="12.75" x14ac:dyDescent="0.2">
      <c r="A56" s="456"/>
      <c r="B56" s="443"/>
      <c r="C56" s="474"/>
      <c r="D56" s="648"/>
      <c r="E56" s="449"/>
      <c r="F56" s="596"/>
      <c r="G56" s="126" t="s">
        <v>23</v>
      </c>
      <c r="H56" s="123">
        <f>+H55</f>
        <v>7.4</v>
      </c>
      <c r="I56" s="123">
        <f t="shared" ref="I56:M56" si="23">+I55</f>
        <v>0</v>
      </c>
      <c r="J56" s="123">
        <f t="shared" si="23"/>
        <v>0</v>
      </c>
      <c r="K56" s="123">
        <f t="shared" si="23"/>
        <v>0</v>
      </c>
      <c r="L56" s="208">
        <f>H56*1.05</f>
        <v>7.7700000000000005</v>
      </c>
      <c r="M56" s="123">
        <f t="shared" si="23"/>
        <v>8.1585000000000001</v>
      </c>
      <c r="N56" s="209">
        <f t="shared" si="15"/>
        <v>23.328499999999998</v>
      </c>
      <c r="O56" s="388"/>
      <c r="P56" s="389"/>
      <c r="Q56" s="629"/>
      <c r="R56" s="629"/>
      <c r="S56" s="629"/>
      <c r="T56" s="431"/>
      <c r="U56" s="627"/>
    </row>
    <row r="57" spans="1:21" ht="14.25" customHeight="1" x14ac:dyDescent="0.2">
      <c r="A57" s="456"/>
      <c r="B57" s="443"/>
      <c r="C57" s="474"/>
      <c r="D57" s="648"/>
      <c r="E57" s="449"/>
      <c r="F57" s="596"/>
      <c r="G57" s="130" t="s">
        <v>40</v>
      </c>
      <c r="H57" s="119">
        <v>465</v>
      </c>
      <c r="I57" s="119"/>
      <c r="J57" s="119"/>
      <c r="K57" s="119"/>
      <c r="L57" s="208">
        <f>H57*1.05</f>
        <v>488.25</v>
      </c>
      <c r="M57" s="208">
        <f>L57*1.05</f>
        <v>512.66250000000002</v>
      </c>
      <c r="N57" s="208">
        <f t="shared" si="15"/>
        <v>1465.9124999999999</v>
      </c>
      <c r="O57" s="388"/>
      <c r="P57" s="389"/>
      <c r="Q57" s="629"/>
      <c r="R57" s="629"/>
      <c r="S57" s="629"/>
      <c r="T57" s="431"/>
      <c r="U57" s="627"/>
    </row>
    <row r="58" spans="1:21" ht="12.75" x14ac:dyDescent="0.2">
      <c r="A58" s="456"/>
      <c r="B58" s="443"/>
      <c r="C58" s="474"/>
      <c r="D58" s="648"/>
      <c r="E58" s="411"/>
      <c r="F58" s="597"/>
      <c r="G58" s="126" t="s">
        <v>23</v>
      </c>
      <c r="H58" s="123">
        <f>+H57</f>
        <v>465</v>
      </c>
      <c r="I58" s="123">
        <f t="shared" ref="I58:M58" si="24">+I57</f>
        <v>0</v>
      </c>
      <c r="J58" s="123">
        <f t="shared" si="24"/>
        <v>0</v>
      </c>
      <c r="K58" s="123">
        <f t="shared" si="24"/>
        <v>0</v>
      </c>
      <c r="L58" s="123">
        <f t="shared" si="24"/>
        <v>488.25</v>
      </c>
      <c r="M58" s="123">
        <f t="shared" si="24"/>
        <v>512.66250000000002</v>
      </c>
      <c r="N58" s="209">
        <f t="shared" si="15"/>
        <v>1465.9124999999999</v>
      </c>
      <c r="O58" s="379"/>
      <c r="P58" s="381"/>
      <c r="Q58" s="630"/>
      <c r="R58" s="630"/>
      <c r="S58" s="630"/>
      <c r="T58" s="402"/>
      <c r="U58" s="627"/>
    </row>
    <row r="59" spans="1:21" ht="12.75" x14ac:dyDescent="0.2">
      <c r="A59" s="447" t="s">
        <v>46</v>
      </c>
      <c r="B59" s="406" t="s">
        <v>36</v>
      </c>
      <c r="C59" s="649" t="s">
        <v>70</v>
      </c>
      <c r="D59" s="636" t="s">
        <v>310</v>
      </c>
      <c r="E59" s="410" t="s">
        <v>70</v>
      </c>
      <c r="F59" s="595">
        <v>188718713</v>
      </c>
      <c r="G59" s="130" t="s">
        <v>40</v>
      </c>
      <c r="H59" s="119">
        <v>21.7</v>
      </c>
      <c r="I59" s="119"/>
      <c r="J59" s="119"/>
      <c r="K59" s="119"/>
      <c r="L59" s="208">
        <f>H59*1.05</f>
        <v>22.785</v>
      </c>
      <c r="M59" s="208">
        <f>L59*1.05</f>
        <v>23.924250000000001</v>
      </c>
      <c r="N59" s="208">
        <f t="shared" si="15"/>
        <v>68.40925</v>
      </c>
      <c r="O59" s="378" t="s">
        <v>311</v>
      </c>
      <c r="P59" s="536" t="s">
        <v>45</v>
      </c>
      <c r="Q59" s="632">
        <v>20</v>
      </c>
      <c r="R59" s="632">
        <v>20</v>
      </c>
      <c r="S59" s="632">
        <v>20</v>
      </c>
      <c r="T59" s="496" t="s">
        <v>244</v>
      </c>
      <c r="U59" s="627"/>
    </row>
    <row r="60" spans="1:21" ht="12.75" x14ac:dyDescent="0.2">
      <c r="A60" s="405"/>
      <c r="B60" s="407"/>
      <c r="C60" s="650"/>
      <c r="D60" s="637"/>
      <c r="E60" s="411"/>
      <c r="F60" s="597"/>
      <c r="G60" s="126" t="s">
        <v>23</v>
      </c>
      <c r="H60" s="123">
        <f>+H59</f>
        <v>21.7</v>
      </c>
      <c r="I60" s="123">
        <f t="shared" ref="I60:M60" si="25">+I59</f>
        <v>0</v>
      </c>
      <c r="J60" s="123">
        <f t="shared" si="25"/>
        <v>0</v>
      </c>
      <c r="K60" s="123">
        <f t="shared" si="25"/>
        <v>0</v>
      </c>
      <c r="L60" s="123">
        <f t="shared" si="25"/>
        <v>22.785</v>
      </c>
      <c r="M60" s="123">
        <f t="shared" si="25"/>
        <v>23.924250000000001</v>
      </c>
      <c r="N60" s="209">
        <f t="shared" si="15"/>
        <v>68.40925</v>
      </c>
      <c r="O60" s="379"/>
      <c r="P60" s="537"/>
      <c r="Q60" s="634"/>
      <c r="R60" s="634"/>
      <c r="S60" s="634"/>
      <c r="T60" s="496"/>
      <c r="U60" s="627"/>
    </row>
    <row r="61" spans="1:21" ht="12.75" x14ac:dyDescent="0.2">
      <c r="A61" s="404" t="s">
        <v>46</v>
      </c>
      <c r="B61" s="406" t="s">
        <v>36</v>
      </c>
      <c r="C61" s="408" t="s">
        <v>75</v>
      </c>
      <c r="D61" s="635" t="s">
        <v>312</v>
      </c>
      <c r="E61" s="410" t="s">
        <v>70</v>
      </c>
      <c r="F61" s="397">
        <v>188718713</v>
      </c>
      <c r="G61" s="130" t="s">
        <v>95</v>
      </c>
      <c r="H61" s="119">
        <v>27.6</v>
      </c>
      <c r="I61" s="119"/>
      <c r="J61" s="119"/>
      <c r="K61" s="119"/>
      <c r="L61" s="208">
        <f>H61*1.05</f>
        <v>28.980000000000004</v>
      </c>
      <c r="M61" s="208">
        <f>L61*1.05</f>
        <v>30.429000000000006</v>
      </c>
      <c r="N61" s="208">
        <f t="shared" si="15"/>
        <v>87.009000000000015</v>
      </c>
      <c r="O61" s="378" t="s">
        <v>313</v>
      </c>
      <c r="P61" s="536" t="s">
        <v>45</v>
      </c>
      <c r="Q61" s="632">
        <v>2</v>
      </c>
      <c r="R61" s="632">
        <v>2</v>
      </c>
      <c r="S61" s="632">
        <v>2</v>
      </c>
      <c r="T61" s="401" t="s">
        <v>244</v>
      </c>
      <c r="U61" s="627"/>
    </row>
    <row r="62" spans="1:21" ht="12.75" x14ac:dyDescent="0.2">
      <c r="A62" s="447"/>
      <c r="B62" s="448"/>
      <c r="C62" s="427"/>
      <c r="D62" s="636"/>
      <c r="E62" s="449"/>
      <c r="F62" s="398"/>
      <c r="G62" s="126" t="s">
        <v>314</v>
      </c>
      <c r="H62" s="123">
        <f>+H61</f>
        <v>27.6</v>
      </c>
      <c r="I62" s="123">
        <f t="shared" ref="I62:M62" si="26">+I61</f>
        <v>0</v>
      </c>
      <c r="J62" s="123">
        <f t="shared" si="26"/>
        <v>0</v>
      </c>
      <c r="K62" s="123">
        <f t="shared" si="26"/>
        <v>0</v>
      </c>
      <c r="L62" s="123">
        <f t="shared" si="26"/>
        <v>28.980000000000004</v>
      </c>
      <c r="M62" s="123">
        <f t="shared" si="26"/>
        <v>30.429000000000006</v>
      </c>
      <c r="N62" s="209">
        <f t="shared" si="15"/>
        <v>87.009000000000015</v>
      </c>
      <c r="O62" s="388"/>
      <c r="P62" s="547"/>
      <c r="Q62" s="633"/>
      <c r="R62" s="633"/>
      <c r="S62" s="633"/>
      <c r="T62" s="431"/>
      <c r="U62" s="627"/>
    </row>
    <row r="63" spans="1:21" ht="17.100000000000001" customHeight="1" x14ac:dyDescent="0.2">
      <c r="A63" s="447"/>
      <c r="B63" s="448"/>
      <c r="C63" s="427"/>
      <c r="D63" s="636"/>
      <c r="E63" s="449"/>
      <c r="F63" s="190" t="s">
        <v>315</v>
      </c>
      <c r="G63" s="130" t="s">
        <v>40</v>
      </c>
      <c r="H63" s="119">
        <v>53.3</v>
      </c>
      <c r="I63" s="119"/>
      <c r="J63" s="119"/>
      <c r="K63" s="119"/>
      <c r="L63" s="208">
        <f>H63*1.05</f>
        <v>55.964999999999996</v>
      </c>
      <c r="M63" s="208">
        <f>L63*1.05</f>
        <v>58.763249999999999</v>
      </c>
      <c r="N63" s="208">
        <f t="shared" si="15"/>
        <v>168.02825000000001</v>
      </c>
      <c r="O63" s="388"/>
      <c r="P63" s="547"/>
      <c r="Q63" s="633"/>
      <c r="R63" s="633"/>
      <c r="S63" s="633"/>
      <c r="T63" s="431"/>
      <c r="U63" s="627"/>
    </row>
    <row r="64" spans="1:21" x14ac:dyDescent="0.2">
      <c r="A64" s="405"/>
      <c r="B64" s="407"/>
      <c r="C64" s="409"/>
      <c r="D64" s="637"/>
      <c r="E64" s="411"/>
      <c r="F64" s="160"/>
      <c r="G64" s="126" t="s">
        <v>23</v>
      </c>
      <c r="H64" s="123">
        <f>+H63</f>
        <v>53.3</v>
      </c>
      <c r="I64" s="123">
        <f t="shared" ref="I64:M64" si="27">+I63</f>
        <v>0</v>
      </c>
      <c r="J64" s="123">
        <f t="shared" si="27"/>
        <v>0</v>
      </c>
      <c r="K64" s="123">
        <f t="shared" si="27"/>
        <v>0</v>
      </c>
      <c r="L64" s="123">
        <f t="shared" si="27"/>
        <v>55.964999999999996</v>
      </c>
      <c r="M64" s="123">
        <f t="shared" si="27"/>
        <v>58.763249999999999</v>
      </c>
      <c r="N64" s="209">
        <f t="shared" si="15"/>
        <v>168.02825000000001</v>
      </c>
      <c r="O64" s="379"/>
      <c r="P64" s="537"/>
      <c r="Q64" s="634"/>
      <c r="R64" s="634"/>
      <c r="S64" s="634"/>
      <c r="T64" s="402"/>
      <c r="U64" s="627"/>
    </row>
    <row r="65" spans="1:21" ht="12.75" x14ac:dyDescent="0.2">
      <c r="A65" s="456" t="s">
        <v>46</v>
      </c>
      <c r="B65" s="406" t="s">
        <v>36</v>
      </c>
      <c r="C65" s="544" t="s">
        <v>80</v>
      </c>
      <c r="D65" s="635" t="s">
        <v>316</v>
      </c>
      <c r="E65" s="410" t="s">
        <v>70</v>
      </c>
      <c r="F65" s="397" t="s">
        <v>317</v>
      </c>
      <c r="G65" s="130" t="s">
        <v>95</v>
      </c>
      <c r="H65" s="119">
        <v>170</v>
      </c>
      <c r="I65" s="119"/>
      <c r="J65" s="119"/>
      <c r="K65" s="119"/>
      <c r="L65" s="208">
        <f>H65*1.05</f>
        <v>178.5</v>
      </c>
      <c r="M65" s="208">
        <f>L65*1.05</f>
        <v>187.42500000000001</v>
      </c>
      <c r="N65" s="208">
        <f t="shared" si="15"/>
        <v>535.92499999999995</v>
      </c>
      <c r="O65" s="651" t="s">
        <v>318</v>
      </c>
      <c r="P65" s="536" t="s">
        <v>45</v>
      </c>
      <c r="Q65" s="632">
        <v>3</v>
      </c>
      <c r="R65" s="632">
        <v>3</v>
      </c>
      <c r="S65" s="632">
        <v>3</v>
      </c>
      <c r="T65" s="401" t="s">
        <v>319</v>
      </c>
      <c r="U65" s="627"/>
    </row>
    <row r="66" spans="1:21" ht="12.95" customHeight="1" x14ac:dyDescent="0.2">
      <c r="A66" s="456"/>
      <c r="B66" s="448"/>
      <c r="C66" s="591"/>
      <c r="D66" s="636"/>
      <c r="E66" s="449"/>
      <c r="F66" s="457"/>
      <c r="G66" s="130" t="s">
        <v>40</v>
      </c>
      <c r="H66" s="119">
        <v>226.5</v>
      </c>
      <c r="I66" s="119"/>
      <c r="J66" s="119"/>
      <c r="K66" s="119"/>
      <c r="L66" s="208">
        <f>H66*1.05</f>
        <v>237.82500000000002</v>
      </c>
      <c r="M66" s="208">
        <f>L66*1.05</f>
        <v>249.71625000000003</v>
      </c>
      <c r="N66" s="208">
        <f t="shared" si="15"/>
        <v>714.04124999999999</v>
      </c>
      <c r="O66" s="652"/>
      <c r="P66" s="547"/>
      <c r="Q66" s="633"/>
      <c r="R66" s="633"/>
      <c r="S66" s="633"/>
      <c r="T66" s="431"/>
      <c r="U66" s="627"/>
    </row>
    <row r="67" spans="1:21" ht="12.75" x14ac:dyDescent="0.2">
      <c r="A67" s="456"/>
      <c r="B67" s="407"/>
      <c r="C67" s="545"/>
      <c r="D67" s="636"/>
      <c r="E67" s="449"/>
      <c r="F67" s="457"/>
      <c r="G67" s="126" t="s">
        <v>23</v>
      </c>
      <c r="H67" s="123">
        <f>+H65+H66</f>
        <v>396.5</v>
      </c>
      <c r="I67" s="123">
        <f t="shared" ref="I67:M67" si="28">+I65+I66</f>
        <v>0</v>
      </c>
      <c r="J67" s="123">
        <f t="shared" si="28"/>
        <v>0</v>
      </c>
      <c r="K67" s="123">
        <f t="shared" si="28"/>
        <v>0</v>
      </c>
      <c r="L67" s="123">
        <f t="shared" si="28"/>
        <v>416.32500000000005</v>
      </c>
      <c r="M67" s="123">
        <f t="shared" si="28"/>
        <v>437.14125000000001</v>
      </c>
      <c r="N67" s="209">
        <f t="shared" si="15"/>
        <v>1249.9662499999999</v>
      </c>
      <c r="O67" s="653"/>
      <c r="P67" s="537"/>
      <c r="Q67" s="634"/>
      <c r="R67" s="634"/>
      <c r="S67" s="634"/>
      <c r="T67" s="431"/>
      <c r="U67" s="627"/>
    </row>
    <row r="68" spans="1:21" ht="15.6" customHeight="1" x14ac:dyDescent="0.2">
      <c r="A68" s="404" t="s">
        <v>46</v>
      </c>
      <c r="B68" s="406" t="s">
        <v>36</v>
      </c>
      <c r="C68" s="408" t="s">
        <v>84</v>
      </c>
      <c r="D68" s="617" t="s">
        <v>320</v>
      </c>
      <c r="E68" s="410" t="s">
        <v>70</v>
      </c>
      <c r="F68" s="541" t="s">
        <v>321</v>
      </c>
      <c r="G68" s="130" t="s">
        <v>95</v>
      </c>
      <c r="H68" s="119">
        <v>537</v>
      </c>
      <c r="I68" s="119"/>
      <c r="J68" s="119"/>
      <c r="K68" s="119"/>
      <c r="L68" s="208">
        <f>H68*1.05</f>
        <v>563.85</v>
      </c>
      <c r="M68" s="208">
        <f>L68*1.05</f>
        <v>592.04250000000002</v>
      </c>
      <c r="N68" s="208">
        <f t="shared" si="15"/>
        <v>1692.8924999999999</v>
      </c>
      <c r="O68" s="378" t="s">
        <v>322</v>
      </c>
      <c r="P68" s="536" t="s">
        <v>45</v>
      </c>
      <c r="Q68" s="632">
        <v>1880</v>
      </c>
      <c r="R68" s="632">
        <v>1800</v>
      </c>
      <c r="S68" s="632">
        <v>1750</v>
      </c>
      <c r="T68" s="496" t="s">
        <v>244</v>
      </c>
      <c r="U68" s="189"/>
    </row>
    <row r="69" spans="1:21" ht="27" customHeight="1" x14ac:dyDescent="0.2">
      <c r="A69" s="405"/>
      <c r="B69" s="407"/>
      <c r="C69" s="409"/>
      <c r="D69" s="638"/>
      <c r="E69" s="411"/>
      <c r="F69" s="543"/>
      <c r="G69" s="126" t="s">
        <v>23</v>
      </c>
      <c r="H69" s="123">
        <f>H68</f>
        <v>537</v>
      </c>
      <c r="I69" s="123">
        <f>+I68</f>
        <v>0</v>
      </c>
      <c r="J69" s="123">
        <f t="shared" ref="J69:K69" si="29">+J68</f>
        <v>0</v>
      </c>
      <c r="K69" s="123">
        <f t="shared" si="29"/>
        <v>0</v>
      </c>
      <c r="L69" s="123">
        <f>L68</f>
        <v>563.85</v>
      </c>
      <c r="M69" s="123">
        <f>M68</f>
        <v>592.04250000000002</v>
      </c>
      <c r="N69" s="209">
        <f t="shared" si="15"/>
        <v>1692.8924999999999</v>
      </c>
      <c r="O69" s="379"/>
      <c r="P69" s="537"/>
      <c r="Q69" s="634"/>
      <c r="R69" s="634"/>
      <c r="S69" s="634"/>
      <c r="T69" s="496"/>
      <c r="U69" s="189"/>
    </row>
    <row r="70" spans="1:21" ht="12.75" x14ac:dyDescent="0.2">
      <c r="A70" s="404" t="s">
        <v>46</v>
      </c>
      <c r="B70" s="406" t="s">
        <v>36</v>
      </c>
      <c r="C70" s="408" t="s">
        <v>87</v>
      </c>
      <c r="D70" s="654" t="s">
        <v>323</v>
      </c>
      <c r="E70" s="410" t="s">
        <v>70</v>
      </c>
      <c r="F70" s="595">
        <v>188718713</v>
      </c>
      <c r="G70" s="130" t="s">
        <v>40</v>
      </c>
      <c r="H70" s="119">
        <v>10</v>
      </c>
      <c r="I70" s="119"/>
      <c r="J70" s="119"/>
      <c r="K70" s="119"/>
      <c r="L70" s="208">
        <f>H70*1.05</f>
        <v>10.5</v>
      </c>
      <c r="M70" s="208">
        <f>L70*1.05</f>
        <v>11.025</v>
      </c>
      <c r="N70" s="208">
        <f t="shared" si="15"/>
        <v>31.524999999999999</v>
      </c>
      <c r="O70" s="378" t="s">
        <v>324</v>
      </c>
      <c r="P70" s="536" t="s">
        <v>45</v>
      </c>
      <c r="Q70" s="632">
        <v>70</v>
      </c>
      <c r="R70" s="632">
        <v>70</v>
      </c>
      <c r="S70" s="632">
        <v>70</v>
      </c>
      <c r="T70" s="401" t="s">
        <v>244</v>
      </c>
      <c r="U70" s="191"/>
    </row>
    <row r="71" spans="1:21" ht="12.75" customHeight="1" x14ac:dyDescent="0.2">
      <c r="A71" s="405"/>
      <c r="B71" s="407"/>
      <c r="C71" s="409"/>
      <c r="D71" s="655"/>
      <c r="E71" s="411"/>
      <c r="F71" s="597"/>
      <c r="G71" s="126" t="s">
        <v>23</v>
      </c>
      <c r="H71" s="123">
        <f>SUM(H70)</f>
        <v>10</v>
      </c>
      <c r="I71" s="123">
        <f t="shared" ref="I71:M71" si="30">SUM(I70)</f>
        <v>0</v>
      </c>
      <c r="J71" s="123">
        <f t="shared" si="30"/>
        <v>0</v>
      </c>
      <c r="K71" s="123">
        <f t="shared" si="30"/>
        <v>0</v>
      </c>
      <c r="L71" s="123">
        <f t="shared" si="30"/>
        <v>10.5</v>
      </c>
      <c r="M71" s="123">
        <f t="shared" si="30"/>
        <v>11.025</v>
      </c>
      <c r="N71" s="209">
        <f t="shared" si="15"/>
        <v>31.524999999999999</v>
      </c>
      <c r="O71" s="379"/>
      <c r="P71" s="537"/>
      <c r="Q71" s="634"/>
      <c r="R71" s="634"/>
      <c r="S71" s="634"/>
      <c r="T71" s="402"/>
      <c r="U71" s="189"/>
    </row>
    <row r="72" spans="1:21" ht="12.75" x14ac:dyDescent="0.2">
      <c r="A72" s="404" t="s">
        <v>46</v>
      </c>
      <c r="B72" s="406" t="s">
        <v>36</v>
      </c>
      <c r="C72" s="408" t="s">
        <v>325</v>
      </c>
      <c r="D72" s="617" t="s">
        <v>326</v>
      </c>
      <c r="E72" s="410" t="s">
        <v>70</v>
      </c>
      <c r="F72" s="397">
        <v>188718713</v>
      </c>
      <c r="G72" s="130" t="s">
        <v>40</v>
      </c>
      <c r="H72" s="119">
        <v>1300</v>
      </c>
      <c r="I72" s="119"/>
      <c r="J72" s="119"/>
      <c r="K72" s="119"/>
      <c r="L72" s="208">
        <f>H72*1.05</f>
        <v>1365</v>
      </c>
      <c r="M72" s="208">
        <f>L72*1.05</f>
        <v>1433.25</v>
      </c>
      <c r="N72" s="208">
        <f t="shared" si="15"/>
        <v>4098.25</v>
      </c>
      <c r="O72" s="378" t="s">
        <v>307</v>
      </c>
      <c r="P72" s="536" t="s">
        <v>62</v>
      </c>
      <c r="Q72" s="632">
        <v>1900</v>
      </c>
      <c r="R72" s="632">
        <v>2000</v>
      </c>
      <c r="S72" s="632">
        <v>2000</v>
      </c>
      <c r="T72" s="401" t="s">
        <v>244</v>
      </c>
      <c r="U72" s="189"/>
    </row>
    <row r="73" spans="1:21" ht="15.75" customHeight="1" x14ac:dyDescent="0.2">
      <c r="A73" s="447"/>
      <c r="B73" s="448"/>
      <c r="C73" s="427"/>
      <c r="D73" s="618"/>
      <c r="E73" s="449"/>
      <c r="F73" s="457"/>
      <c r="G73" s="130" t="s">
        <v>23</v>
      </c>
      <c r="H73" s="123">
        <f t="shared" ref="H73:M73" si="31">+H72</f>
        <v>1300</v>
      </c>
      <c r="I73" s="123">
        <f t="shared" si="31"/>
        <v>0</v>
      </c>
      <c r="J73" s="123">
        <f t="shared" si="31"/>
        <v>0</v>
      </c>
      <c r="K73" s="123">
        <f t="shared" si="31"/>
        <v>0</v>
      </c>
      <c r="L73" s="123">
        <f t="shared" si="31"/>
        <v>1365</v>
      </c>
      <c r="M73" s="123">
        <f t="shared" si="31"/>
        <v>1433.25</v>
      </c>
      <c r="N73" s="209">
        <f t="shared" si="15"/>
        <v>4098.25</v>
      </c>
      <c r="O73" s="388"/>
      <c r="P73" s="547"/>
      <c r="Q73" s="633"/>
      <c r="R73" s="633"/>
      <c r="S73" s="633"/>
      <c r="T73" s="431"/>
      <c r="U73" s="189"/>
    </row>
    <row r="74" spans="1:21" ht="15.75" customHeight="1" x14ac:dyDescent="0.2">
      <c r="A74" s="447"/>
      <c r="B74" s="448"/>
      <c r="C74" s="427"/>
      <c r="D74" s="618"/>
      <c r="E74" s="449"/>
      <c r="F74" s="457"/>
      <c r="G74" s="130" t="s">
        <v>95</v>
      </c>
      <c r="H74" s="123"/>
      <c r="I74" s="123"/>
      <c r="J74" s="123"/>
      <c r="K74" s="123"/>
      <c r="L74" s="123">
        <f>SUM(+(H74*0.05)+H74)</f>
        <v>0</v>
      </c>
      <c r="M74" s="123">
        <f>SUM(+(L74*0.05)+L74)</f>
        <v>0</v>
      </c>
      <c r="N74" s="208">
        <f t="shared" si="15"/>
        <v>0</v>
      </c>
      <c r="O74" s="388"/>
      <c r="P74" s="547"/>
      <c r="Q74" s="633"/>
      <c r="R74" s="633"/>
      <c r="S74" s="633"/>
      <c r="T74" s="431"/>
      <c r="U74" s="189"/>
    </row>
    <row r="75" spans="1:21" ht="18.75" customHeight="1" x14ac:dyDescent="0.2">
      <c r="A75" s="405"/>
      <c r="B75" s="407"/>
      <c r="C75" s="409"/>
      <c r="D75" s="638"/>
      <c r="E75" s="411"/>
      <c r="F75" s="398"/>
      <c r="G75" s="130" t="s">
        <v>23</v>
      </c>
      <c r="H75" s="123">
        <f>SUM(H74)</f>
        <v>0</v>
      </c>
      <c r="I75" s="123">
        <f t="shared" ref="I75:M75" si="32">SUM(I74)</f>
        <v>0</v>
      </c>
      <c r="J75" s="123">
        <f t="shared" si="32"/>
        <v>0</v>
      </c>
      <c r="K75" s="123">
        <f t="shared" si="32"/>
        <v>0</v>
      </c>
      <c r="L75" s="123">
        <f t="shared" si="32"/>
        <v>0</v>
      </c>
      <c r="M75" s="123">
        <f t="shared" si="32"/>
        <v>0</v>
      </c>
      <c r="N75" s="208">
        <f t="shared" si="15"/>
        <v>0</v>
      </c>
      <c r="O75" s="379"/>
      <c r="P75" s="537"/>
      <c r="Q75" s="634"/>
      <c r="R75" s="634"/>
      <c r="S75" s="634"/>
      <c r="T75" s="402"/>
      <c r="U75" s="189"/>
    </row>
    <row r="76" spans="1:21" ht="21" customHeight="1" x14ac:dyDescent="0.2">
      <c r="A76" s="404" t="s">
        <v>46</v>
      </c>
      <c r="B76" s="406" t="s">
        <v>36</v>
      </c>
      <c r="C76" s="408" t="s">
        <v>327</v>
      </c>
      <c r="D76" s="643" t="s">
        <v>328</v>
      </c>
      <c r="E76" s="410" t="s">
        <v>70</v>
      </c>
      <c r="F76" s="397">
        <v>188718713</v>
      </c>
      <c r="G76" s="130" t="s">
        <v>40</v>
      </c>
      <c r="H76" s="119">
        <v>480</v>
      </c>
      <c r="I76" s="119"/>
      <c r="J76" s="119"/>
      <c r="K76" s="119"/>
      <c r="L76" s="208">
        <f>H76*1.05</f>
        <v>504</v>
      </c>
      <c r="M76" s="208">
        <f>L76*1.05</f>
        <v>529.20000000000005</v>
      </c>
      <c r="N76" s="208">
        <f t="shared" si="15"/>
        <v>1513.2</v>
      </c>
      <c r="O76" s="378" t="s">
        <v>329</v>
      </c>
      <c r="P76" s="380" t="s">
        <v>45</v>
      </c>
      <c r="Q76" s="628">
        <v>70</v>
      </c>
      <c r="R76" s="628">
        <v>75</v>
      </c>
      <c r="S76" s="628">
        <v>78</v>
      </c>
      <c r="T76" s="401" t="s">
        <v>244</v>
      </c>
      <c r="U76" s="627"/>
    </row>
    <row r="77" spans="1:21" ht="64.5" customHeight="1" x14ac:dyDescent="0.2">
      <c r="A77" s="405"/>
      <c r="B77" s="407"/>
      <c r="C77" s="409"/>
      <c r="D77" s="645"/>
      <c r="E77" s="411"/>
      <c r="F77" s="398"/>
      <c r="G77" s="126" t="s">
        <v>23</v>
      </c>
      <c r="H77" s="123">
        <f>+H76</f>
        <v>480</v>
      </c>
      <c r="I77" s="123">
        <f t="shared" ref="I77:M77" si="33">+I76</f>
        <v>0</v>
      </c>
      <c r="J77" s="123">
        <f t="shared" si="33"/>
        <v>0</v>
      </c>
      <c r="K77" s="123">
        <f t="shared" si="33"/>
        <v>0</v>
      </c>
      <c r="L77" s="123">
        <f t="shared" si="33"/>
        <v>504</v>
      </c>
      <c r="M77" s="123">
        <f t="shared" si="33"/>
        <v>529.20000000000005</v>
      </c>
      <c r="N77" s="209">
        <f t="shared" si="15"/>
        <v>1513.2</v>
      </c>
      <c r="O77" s="379"/>
      <c r="P77" s="381"/>
      <c r="Q77" s="630"/>
      <c r="R77" s="630"/>
      <c r="S77" s="630"/>
      <c r="T77" s="402"/>
      <c r="U77" s="627"/>
    </row>
    <row r="78" spans="1:21" ht="12.75" customHeight="1" x14ac:dyDescent="0.2">
      <c r="A78" s="404" t="s">
        <v>46</v>
      </c>
      <c r="B78" s="406" t="s">
        <v>36</v>
      </c>
      <c r="C78" s="408" t="s">
        <v>330</v>
      </c>
      <c r="D78" s="397" t="s">
        <v>331</v>
      </c>
      <c r="E78" s="410" t="s">
        <v>70</v>
      </c>
      <c r="F78" s="397">
        <v>188718713</v>
      </c>
      <c r="G78" s="130" t="s">
        <v>40</v>
      </c>
      <c r="H78" s="119">
        <v>47</v>
      </c>
      <c r="I78" s="119"/>
      <c r="J78" s="119"/>
      <c r="K78" s="119"/>
      <c r="L78" s="208">
        <f>H78*1.05</f>
        <v>49.35</v>
      </c>
      <c r="M78" s="208">
        <f>L78*1.05</f>
        <v>51.817500000000003</v>
      </c>
      <c r="N78" s="208">
        <f t="shared" si="15"/>
        <v>148.16750000000002</v>
      </c>
      <c r="O78" s="380" t="s">
        <v>332</v>
      </c>
      <c r="P78" s="536" t="s">
        <v>45</v>
      </c>
      <c r="Q78" s="632">
        <v>160</v>
      </c>
      <c r="R78" s="632">
        <v>170</v>
      </c>
      <c r="S78" s="632">
        <v>180</v>
      </c>
      <c r="T78" s="401" t="s">
        <v>244</v>
      </c>
      <c r="U78" s="189"/>
    </row>
    <row r="79" spans="1:21" ht="32.25" customHeight="1" x14ac:dyDescent="0.2">
      <c r="A79" s="405"/>
      <c r="B79" s="407"/>
      <c r="C79" s="409"/>
      <c r="D79" s="398"/>
      <c r="E79" s="411"/>
      <c r="F79" s="398"/>
      <c r="G79" s="126" t="s">
        <v>23</v>
      </c>
      <c r="H79" s="123">
        <f>+H78</f>
        <v>47</v>
      </c>
      <c r="I79" s="123">
        <f t="shared" ref="I79:M79" si="34">+I78</f>
        <v>0</v>
      </c>
      <c r="J79" s="123">
        <f t="shared" si="34"/>
        <v>0</v>
      </c>
      <c r="K79" s="123">
        <f t="shared" si="34"/>
        <v>0</v>
      </c>
      <c r="L79" s="123">
        <f t="shared" si="34"/>
        <v>49.35</v>
      </c>
      <c r="M79" s="123">
        <f t="shared" si="34"/>
        <v>51.817500000000003</v>
      </c>
      <c r="N79" s="209">
        <f t="shared" si="15"/>
        <v>148.16750000000002</v>
      </c>
      <c r="O79" s="381"/>
      <c r="P79" s="537"/>
      <c r="Q79" s="634"/>
      <c r="R79" s="634"/>
      <c r="S79" s="634"/>
      <c r="T79" s="402"/>
      <c r="U79" s="189"/>
    </row>
    <row r="80" spans="1:21" ht="12.75" customHeight="1" x14ac:dyDescent="0.2">
      <c r="A80" s="404" t="s">
        <v>46</v>
      </c>
      <c r="B80" s="406" t="s">
        <v>36</v>
      </c>
      <c r="C80" s="408" t="s">
        <v>333</v>
      </c>
      <c r="D80" s="397" t="s">
        <v>334</v>
      </c>
      <c r="E80" s="410" t="s">
        <v>70</v>
      </c>
      <c r="F80" s="397">
        <v>188718713</v>
      </c>
      <c r="G80" s="130" t="s">
        <v>178</v>
      </c>
      <c r="H80" s="119">
        <v>1881</v>
      </c>
      <c r="I80" s="119"/>
      <c r="J80" s="119"/>
      <c r="K80" s="119"/>
      <c r="L80" s="208">
        <f>H80*1.05</f>
        <v>1975.0500000000002</v>
      </c>
      <c r="M80" s="208">
        <f>L80*1.05</f>
        <v>2073.8025000000002</v>
      </c>
      <c r="N80" s="208">
        <f t="shared" si="15"/>
        <v>5929.8525000000009</v>
      </c>
      <c r="O80" s="380" t="s">
        <v>335</v>
      </c>
      <c r="P80" s="536" t="s">
        <v>45</v>
      </c>
      <c r="Q80" s="656">
        <v>747</v>
      </c>
      <c r="R80" s="656">
        <v>770</v>
      </c>
      <c r="S80" s="656">
        <v>790</v>
      </c>
      <c r="T80" s="401" t="s">
        <v>244</v>
      </c>
      <c r="U80" s="189"/>
    </row>
    <row r="81" spans="1:21" ht="24" customHeight="1" x14ac:dyDescent="0.2">
      <c r="A81" s="405"/>
      <c r="B81" s="407"/>
      <c r="C81" s="409"/>
      <c r="D81" s="398"/>
      <c r="E81" s="411"/>
      <c r="F81" s="398"/>
      <c r="G81" s="126" t="s">
        <v>23</v>
      </c>
      <c r="H81" s="123">
        <f>+H80</f>
        <v>1881</v>
      </c>
      <c r="I81" s="123">
        <f t="shared" ref="I81:M81" si="35">+I80</f>
        <v>0</v>
      </c>
      <c r="J81" s="123">
        <f t="shared" si="35"/>
        <v>0</v>
      </c>
      <c r="K81" s="123">
        <f t="shared" si="35"/>
        <v>0</v>
      </c>
      <c r="L81" s="123">
        <f t="shared" si="35"/>
        <v>1975.0500000000002</v>
      </c>
      <c r="M81" s="123">
        <f t="shared" si="35"/>
        <v>2073.8025000000002</v>
      </c>
      <c r="N81" s="209">
        <f t="shared" si="15"/>
        <v>5929.8525000000009</v>
      </c>
      <c r="O81" s="381"/>
      <c r="P81" s="537"/>
      <c r="Q81" s="657"/>
      <c r="R81" s="657"/>
      <c r="S81" s="657"/>
      <c r="T81" s="402"/>
      <c r="U81" s="189"/>
    </row>
    <row r="82" spans="1:21" ht="18.75" customHeight="1" x14ac:dyDescent="0.2">
      <c r="A82" s="404" t="s">
        <v>46</v>
      </c>
      <c r="B82" s="406" t="s">
        <v>36</v>
      </c>
      <c r="C82" s="408" t="s">
        <v>336</v>
      </c>
      <c r="D82" s="397" t="s">
        <v>337</v>
      </c>
      <c r="E82" s="410" t="s">
        <v>70</v>
      </c>
      <c r="F82" s="397">
        <v>188718713</v>
      </c>
      <c r="G82" s="130" t="s">
        <v>178</v>
      </c>
      <c r="H82" s="119">
        <v>75.2</v>
      </c>
      <c r="I82" s="119"/>
      <c r="J82" s="119"/>
      <c r="K82" s="119"/>
      <c r="L82" s="208">
        <f>H82*1.05</f>
        <v>78.960000000000008</v>
      </c>
      <c r="M82" s="208">
        <f>L82*1.05</f>
        <v>82.908000000000015</v>
      </c>
      <c r="N82" s="208">
        <f t="shared" ref="N82:N83" si="36">SUM(I82+L82+M82)+H82</f>
        <v>237.06800000000004</v>
      </c>
      <c r="O82" s="380" t="s">
        <v>338</v>
      </c>
      <c r="P82" s="536" t="s">
        <v>45</v>
      </c>
      <c r="Q82" s="656">
        <v>9</v>
      </c>
      <c r="R82" s="656">
        <v>9</v>
      </c>
      <c r="S82" s="656">
        <v>9</v>
      </c>
      <c r="T82" s="401" t="s">
        <v>244</v>
      </c>
      <c r="U82" s="189"/>
    </row>
    <row r="83" spans="1:21" ht="19.5" customHeight="1" x14ac:dyDescent="0.2">
      <c r="A83" s="405"/>
      <c r="B83" s="407"/>
      <c r="C83" s="409"/>
      <c r="D83" s="398"/>
      <c r="E83" s="411"/>
      <c r="F83" s="398"/>
      <c r="G83" s="126" t="s">
        <v>23</v>
      </c>
      <c r="H83" s="123">
        <f>+H82</f>
        <v>75.2</v>
      </c>
      <c r="I83" s="123">
        <f t="shared" ref="I83:M83" si="37">+I82</f>
        <v>0</v>
      </c>
      <c r="J83" s="123">
        <f t="shared" si="37"/>
        <v>0</v>
      </c>
      <c r="K83" s="123">
        <f t="shared" si="37"/>
        <v>0</v>
      </c>
      <c r="L83" s="123">
        <f t="shared" si="37"/>
        <v>78.960000000000008</v>
      </c>
      <c r="M83" s="123">
        <f t="shared" si="37"/>
        <v>82.908000000000015</v>
      </c>
      <c r="N83" s="209">
        <f t="shared" si="36"/>
        <v>237.06800000000004</v>
      </c>
      <c r="O83" s="381"/>
      <c r="P83" s="537"/>
      <c r="Q83" s="657"/>
      <c r="R83" s="657"/>
      <c r="S83" s="657"/>
      <c r="T83" s="402"/>
      <c r="U83" s="189"/>
    </row>
    <row r="84" spans="1:21" ht="15.75" customHeight="1" x14ac:dyDescent="0.2">
      <c r="A84" s="404" t="s">
        <v>46</v>
      </c>
      <c r="B84" s="406" t="s">
        <v>36</v>
      </c>
      <c r="C84" s="408" t="s">
        <v>339</v>
      </c>
      <c r="D84" s="397" t="s">
        <v>340</v>
      </c>
      <c r="E84" s="410" t="s">
        <v>70</v>
      </c>
      <c r="F84" s="397">
        <v>188718713</v>
      </c>
      <c r="G84" s="130" t="s">
        <v>178</v>
      </c>
      <c r="H84" s="119">
        <v>8265.2999999999993</v>
      </c>
      <c r="I84" s="119"/>
      <c r="J84" s="119"/>
      <c r="K84" s="119"/>
      <c r="L84" s="208">
        <f>H84*1.05</f>
        <v>8678.5650000000005</v>
      </c>
      <c r="M84" s="208">
        <f>L84*1.05</f>
        <v>9112.4932500000014</v>
      </c>
      <c r="N84" s="208">
        <f t="shared" ref="N84:N85" si="38">SUM(I84+L84+M84)+H84</f>
        <v>26056.358250000001</v>
      </c>
      <c r="O84" s="380" t="s">
        <v>341</v>
      </c>
      <c r="P84" s="536" t="s">
        <v>45</v>
      </c>
      <c r="Q84" s="656">
        <v>6461</v>
      </c>
      <c r="R84" s="656">
        <v>6500</v>
      </c>
      <c r="S84" s="656">
        <v>6550</v>
      </c>
      <c r="T84" s="401" t="s">
        <v>244</v>
      </c>
      <c r="U84" s="189"/>
    </row>
    <row r="85" spans="1:21" ht="17.25" customHeight="1" x14ac:dyDescent="0.2">
      <c r="A85" s="405"/>
      <c r="B85" s="407"/>
      <c r="C85" s="409"/>
      <c r="D85" s="398"/>
      <c r="E85" s="411"/>
      <c r="F85" s="398"/>
      <c r="G85" s="126" t="s">
        <v>23</v>
      </c>
      <c r="H85" s="123">
        <f>+H84</f>
        <v>8265.2999999999993</v>
      </c>
      <c r="I85" s="123">
        <f t="shared" ref="I85:M85" si="39">+I84</f>
        <v>0</v>
      </c>
      <c r="J85" s="123">
        <f t="shared" si="39"/>
        <v>0</v>
      </c>
      <c r="K85" s="123">
        <f t="shared" si="39"/>
        <v>0</v>
      </c>
      <c r="L85" s="123">
        <f t="shared" si="39"/>
        <v>8678.5650000000005</v>
      </c>
      <c r="M85" s="123">
        <f t="shared" si="39"/>
        <v>9112.4932500000014</v>
      </c>
      <c r="N85" s="209">
        <f t="shared" si="38"/>
        <v>26056.358250000001</v>
      </c>
      <c r="O85" s="381"/>
      <c r="P85" s="537"/>
      <c r="Q85" s="657"/>
      <c r="R85" s="657"/>
      <c r="S85" s="657"/>
      <c r="T85" s="402"/>
      <c r="U85" s="189"/>
    </row>
    <row r="86" spans="1:21" ht="12.75" customHeight="1" x14ac:dyDescent="0.2">
      <c r="A86" s="404" t="s">
        <v>46</v>
      </c>
      <c r="B86" s="406" t="s">
        <v>36</v>
      </c>
      <c r="C86" s="408" t="s">
        <v>342</v>
      </c>
      <c r="D86" s="397" t="s">
        <v>343</v>
      </c>
      <c r="E86" s="410" t="s">
        <v>70</v>
      </c>
      <c r="F86" s="397">
        <v>188718713</v>
      </c>
      <c r="G86" s="130" t="s">
        <v>40</v>
      </c>
      <c r="H86" s="119">
        <v>57.9</v>
      </c>
      <c r="I86" s="119"/>
      <c r="J86" s="119"/>
      <c r="K86" s="119"/>
      <c r="L86" s="208">
        <f>H86*1.05</f>
        <v>60.795000000000002</v>
      </c>
      <c r="M86" s="208">
        <f>L86*1.05</f>
        <v>63.834750000000007</v>
      </c>
      <c r="N86" s="208">
        <f t="shared" ref="N86:N87" si="40">SUM(I86+L86+M86)+H86</f>
        <v>182.52975000000001</v>
      </c>
      <c r="O86" s="380" t="s">
        <v>344</v>
      </c>
      <c r="P86" s="536" t="s">
        <v>45</v>
      </c>
      <c r="Q86" s="632">
        <v>17</v>
      </c>
      <c r="R86" s="632">
        <v>17</v>
      </c>
      <c r="S86" s="632">
        <v>17</v>
      </c>
      <c r="T86" s="401" t="s">
        <v>244</v>
      </c>
      <c r="U86" s="189"/>
    </row>
    <row r="87" spans="1:21" ht="28.5" customHeight="1" x14ac:dyDescent="0.2">
      <c r="A87" s="405"/>
      <c r="B87" s="407"/>
      <c r="C87" s="409"/>
      <c r="D87" s="398"/>
      <c r="E87" s="411"/>
      <c r="F87" s="398"/>
      <c r="G87" s="126" t="s">
        <v>23</v>
      </c>
      <c r="H87" s="123">
        <f>+H86</f>
        <v>57.9</v>
      </c>
      <c r="I87" s="123">
        <f t="shared" ref="I87:M87" si="41">+I86</f>
        <v>0</v>
      </c>
      <c r="J87" s="123">
        <f t="shared" si="41"/>
        <v>0</v>
      </c>
      <c r="K87" s="123">
        <f t="shared" si="41"/>
        <v>0</v>
      </c>
      <c r="L87" s="123">
        <f t="shared" si="41"/>
        <v>60.795000000000002</v>
      </c>
      <c r="M87" s="123">
        <f t="shared" si="41"/>
        <v>63.834750000000007</v>
      </c>
      <c r="N87" s="209">
        <f t="shared" si="40"/>
        <v>182.52975000000001</v>
      </c>
      <c r="O87" s="381"/>
      <c r="P87" s="537"/>
      <c r="Q87" s="634"/>
      <c r="R87" s="634"/>
      <c r="S87" s="634"/>
      <c r="T87" s="402"/>
      <c r="U87" s="189"/>
    </row>
    <row r="88" spans="1:21" ht="30.95" hidden="1" customHeight="1" x14ac:dyDescent="0.2">
      <c r="A88" s="404" t="s">
        <v>50</v>
      </c>
      <c r="B88" s="406" t="s">
        <v>36</v>
      </c>
      <c r="C88" s="408" t="s">
        <v>36</v>
      </c>
      <c r="D88" s="660" t="s">
        <v>345</v>
      </c>
      <c r="E88" s="410" t="s">
        <v>70</v>
      </c>
      <c r="F88" s="397">
        <v>188718713</v>
      </c>
      <c r="G88" s="130" t="s">
        <v>95</v>
      </c>
      <c r="H88" s="119">
        <v>544.6</v>
      </c>
      <c r="I88" s="119"/>
      <c r="J88" s="119"/>
      <c r="K88" s="119"/>
      <c r="L88" s="208">
        <f>H88*1.05</f>
        <v>571.83000000000004</v>
      </c>
      <c r="M88" s="208">
        <f>L88*1.05</f>
        <v>600.42150000000004</v>
      </c>
      <c r="N88" s="208">
        <f t="shared" ref="N88:N89" si="42">SUM(I88+L88+M88)+H88</f>
        <v>1716.8515000000002</v>
      </c>
      <c r="O88" s="378" t="s">
        <v>346</v>
      </c>
      <c r="P88" s="536" t="s">
        <v>62</v>
      </c>
      <c r="Q88" s="632">
        <v>190</v>
      </c>
      <c r="R88" s="632">
        <v>180</v>
      </c>
      <c r="S88" s="632">
        <v>170</v>
      </c>
      <c r="T88" s="401" t="s">
        <v>277</v>
      </c>
      <c r="U88" s="627"/>
    </row>
    <row r="89" spans="1:21" ht="25.5" hidden="1" customHeight="1" x14ac:dyDescent="0.2">
      <c r="A89" s="405"/>
      <c r="B89" s="407"/>
      <c r="C89" s="409"/>
      <c r="D89" s="661"/>
      <c r="E89" s="411"/>
      <c r="F89" s="398"/>
      <c r="G89" s="126" t="s">
        <v>23</v>
      </c>
      <c r="H89" s="123">
        <f t="shared" ref="H89:L89" si="43">+H88</f>
        <v>544.6</v>
      </c>
      <c r="I89" s="123">
        <f t="shared" si="43"/>
        <v>0</v>
      </c>
      <c r="J89" s="123">
        <f t="shared" si="43"/>
        <v>0</v>
      </c>
      <c r="K89" s="123">
        <f t="shared" si="43"/>
        <v>0</v>
      </c>
      <c r="L89" s="123">
        <f t="shared" si="43"/>
        <v>571.83000000000004</v>
      </c>
      <c r="M89" s="123">
        <f>+M88</f>
        <v>600.42150000000004</v>
      </c>
      <c r="N89" s="209">
        <f t="shared" si="42"/>
        <v>1716.8515000000002</v>
      </c>
      <c r="O89" s="379"/>
      <c r="P89" s="537"/>
      <c r="Q89" s="634"/>
      <c r="R89" s="634"/>
      <c r="S89" s="634"/>
      <c r="T89" s="402"/>
      <c r="U89" s="627"/>
    </row>
    <row r="90" spans="1:21" ht="14.25" hidden="1" customHeight="1" x14ac:dyDescent="0.2">
      <c r="A90" s="27" t="s">
        <v>50</v>
      </c>
      <c r="B90" s="32" t="s">
        <v>46</v>
      </c>
      <c r="C90" s="424" t="s">
        <v>347</v>
      </c>
      <c r="D90" s="425"/>
      <c r="E90" s="425"/>
      <c r="F90" s="425"/>
      <c r="G90" s="425"/>
      <c r="H90" s="425"/>
      <c r="I90" s="425"/>
      <c r="J90" s="425"/>
      <c r="K90" s="425"/>
      <c r="L90" s="425"/>
      <c r="M90" s="425"/>
      <c r="N90" s="425"/>
      <c r="O90" s="425"/>
      <c r="P90" s="425"/>
      <c r="Q90" s="425"/>
      <c r="R90" s="425"/>
      <c r="S90" s="425"/>
      <c r="T90" s="426"/>
      <c r="U90" s="189"/>
    </row>
    <row r="91" spans="1:21" ht="24.95" hidden="1" customHeight="1" x14ac:dyDescent="0.2">
      <c r="A91" s="658" t="s">
        <v>50</v>
      </c>
      <c r="B91" s="406" t="s">
        <v>46</v>
      </c>
      <c r="C91" s="410" t="s">
        <v>50</v>
      </c>
      <c r="D91" s="617" t="s">
        <v>348</v>
      </c>
      <c r="E91" s="595">
        <v>10</v>
      </c>
      <c r="F91" s="595">
        <v>188718713</v>
      </c>
      <c r="G91" s="33" t="s">
        <v>95</v>
      </c>
      <c r="H91" s="119">
        <v>14.2</v>
      </c>
      <c r="I91" s="119"/>
      <c r="J91" s="119"/>
      <c r="K91" s="119"/>
      <c r="L91" s="208">
        <f>H91*1.05</f>
        <v>14.91</v>
      </c>
      <c r="M91" s="208">
        <f>L91*1.05</f>
        <v>15.6555</v>
      </c>
      <c r="N91" s="208">
        <f t="shared" ref="N91:N104" si="44">SUM(I91+L91+M91)+H91</f>
        <v>44.765500000000003</v>
      </c>
      <c r="O91" s="378" t="s">
        <v>349</v>
      </c>
      <c r="P91" s="536" t="s">
        <v>45</v>
      </c>
      <c r="Q91" s="632">
        <v>10</v>
      </c>
      <c r="R91" s="632">
        <v>12</v>
      </c>
      <c r="S91" s="632">
        <v>15</v>
      </c>
      <c r="T91" s="401" t="s">
        <v>350</v>
      </c>
      <c r="U91" s="627"/>
    </row>
    <row r="92" spans="1:21" ht="12.75" hidden="1" x14ac:dyDescent="0.2">
      <c r="A92" s="659"/>
      <c r="B92" s="448"/>
      <c r="C92" s="449"/>
      <c r="D92" s="618"/>
      <c r="E92" s="596"/>
      <c r="F92" s="596"/>
      <c r="G92" s="126" t="s">
        <v>23</v>
      </c>
      <c r="H92" s="123">
        <f t="shared" ref="H92:M92" si="45">SUM(H91)</f>
        <v>14.2</v>
      </c>
      <c r="I92" s="123">
        <f t="shared" si="45"/>
        <v>0</v>
      </c>
      <c r="J92" s="123">
        <f t="shared" si="45"/>
        <v>0</v>
      </c>
      <c r="K92" s="123">
        <f t="shared" si="45"/>
        <v>0</v>
      </c>
      <c r="L92" s="123">
        <f t="shared" si="45"/>
        <v>14.91</v>
      </c>
      <c r="M92" s="192">
        <f t="shared" si="45"/>
        <v>15.6555</v>
      </c>
      <c r="N92" s="209">
        <f t="shared" si="44"/>
        <v>44.765500000000003</v>
      </c>
      <c r="O92" s="379"/>
      <c r="P92" s="537"/>
      <c r="Q92" s="634"/>
      <c r="R92" s="634"/>
      <c r="S92" s="634"/>
      <c r="T92" s="431"/>
      <c r="U92" s="627"/>
    </row>
    <row r="93" spans="1:21" ht="12.75" hidden="1" x14ac:dyDescent="0.2">
      <c r="A93" s="662" t="s">
        <v>50</v>
      </c>
      <c r="B93" s="665" t="s">
        <v>46</v>
      </c>
      <c r="C93" s="544" t="s">
        <v>169</v>
      </c>
      <c r="D93" s="617" t="s">
        <v>351</v>
      </c>
      <c r="E93" s="544" t="s">
        <v>70</v>
      </c>
      <c r="F93" s="397">
        <v>188718713</v>
      </c>
      <c r="G93" s="130" t="s">
        <v>40</v>
      </c>
      <c r="H93" s="119">
        <v>40</v>
      </c>
      <c r="I93" s="119"/>
      <c r="J93" s="119"/>
      <c r="K93" s="119"/>
      <c r="L93" s="208">
        <f>H93*1.05</f>
        <v>42</v>
      </c>
      <c r="M93" s="208">
        <f>L93*1.05</f>
        <v>44.1</v>
      </c>
      <c r="N93" s="208">
        <f t="shared" si="44"/>
        <v>126.1</v>
      </c>
      <c r="O93" s="378" t="s">
        <v>352</v>
      </c>
      <c r="P93" s="536" t="s">
        <v>62</v>
      </c>
      <c r="Q93" s="632">
        <v>9</v>
      </c>
      <c r="R93" s="632">
        <v>8</v>
      </c>
      <c r="S93" s="632">
        <v>8</v>
      </c>
      <c r="T93" s="401" t="s">
        <v>244</v>
      </c>
      <c r="U93" s="627"/>
    </row>
    <row r="94" spans="1:21" ht="12.75" hidden="1" x14ac:dyDescent="0.2">
      <c r="A94" s="663"/>
      <c r="B94" s="666"/>
      <c r="C94" s="591"/>
      <c r="D94" s="618"/>
      <c r="E94" s="591"/>
      <c r="F94" s="457"/>
      <c r="G94" s="126" t="s">
        <v>23</v>
      </c>
      <c r="H94" s="123">
        <f>+H93</f>
        <v>40</v>
      </c>
      <c r="I94" s="123">
        <f t="shared" ref="I94:M94" si="46">+I93</f>
        <v>0</v>
      </c>
      <c r="J94" s="123">
        <f t="shared" si="46"/>
        <v>0</v>
      </c>
      <c r="K94" s="123">
        <f t="shared" si="46"/>
        <v>0</v>
      </c>
      <c r="L94" s="123">
        <f t="shared" si="46"/>
        <v>42</v>
      </c>
      <c r="M94" s="123">
        <f t="shared" si="46"/>
        <v>44.1</v>
      </c>
      <c r="N94" s="209">
        <f t="shared" si="44"/>
        <v>126.1</v>
      </c>
      <c r="O94" s="379"/>
      <c r="P94" s="537"/>
      <c r="Q94" s="634"/>
      <c r="R94" s="634"/>
      <c r="S94" s="634"/>
      <c r="T94" s="431"/>
      <c r="U94" s="627"/>
    </row>
    <row r="95" spans="1:21" ht="12.75" hidden="1" x14ac:dyDescent="0.2">
      <c r="A95" s="663"/>
      <c r="B95" s="666"/>
      <c r="C95" s="591"/>
      <c r="D95" s="618"/>
      <c r="E95" s="591"/>
      <c r="F95" s="457"/>
      <c r="G95" s="130" t="s">
        <v>95</v>
      </c>
      <c r="H95" s="119">
        <v>32.200000000000003</v>
      </c>
      <c r="I95" s="119"/>
      <c r="J95" s="119">
        <v>0.9</v>
      </c>
      <c r="K95" s="119"/>
      <c r="L95" s="208">
        <f>H95*1.05</f>
        <v>33.81</v>
      </c>
      <c r="M95" s="208">
        <f>L95*1.05</f>
        <v>35.500500000000002</v>
      </c>
      <c r="N95" s="208">
        <f t="shared" si="44"/>
        <v>101.51050000000001</v>
      </c>
      <c r="O95" s="378" t="s">
        <v>353</v>
      </c>
      <c r="P95" s="536" t="s">
        <v>62</v>
      </c>
      <c r="Q95" s="536">
        <v>2</v>
      </c>
      <c r="R95" s="536">
        <v>2</v>
      </c>
      <c r="S95" s="536">
        <v>2</v>
      </c>
      <c r="T95" s="431"/>
      <c r="U95" s="627"/>
    </row>
    <row r="96" spans="1:21" ht="12.75" hidden="1" x14ac:dyDescent="0.2">
      <c r="A96" s="664"/>
      <c r="B96" s="667"/>
      <c r="C96" s="545"/>
      <c r="D96" s="638"/>
      <c r="E96" s="545"/>
      <c r="F96" s="398"/>
      <c r="G96" s="126" t="s">
        <v>23</v>
      </c>
      <c r="H96" s="123">
        <f>SUM(H95)</f>
        <v>32.200000000000003</v>
      </c>
      <c r="I96" s="123">
        <f t="shared" ref="I96:M96" si="47">SUM(I95)</f>
        <v>0</v>
      </c>
      <c r="J96" s="123">
        <f t="shared" si="47"/>
        <v>0.9</v>
      </c>
      <c r="K96" s="123">
        <f t="shared" si="47"/>
        <v>0</v>
      </c>
      <c r="L96" s="123">
        <f t="shared" si="47"/>
        <v>33.81</v>
      </c>
      <c r="M96" s="123">
        <f t="shared" si="47"/>
        <v>35.500500000000002</v>
      </c>
      <c r="N96" s="209">
        <f t="shared" si="44"/>
        <v>101.51050000000001</v>
      </c>
      <c r="O96" s="379"/>
      <c r="P96" s="537"/>
      <c r="Q96" s="537"/>
      <c r="R96" s="537"/>
      <c r="S96" s="537"/>
      <c r="T96" s="402"/>
      <c r="U96" s="627"/>
    </row>
    <row r="97" spans="1:21" ht="12.75" hidden="1" x14ac:dyDescent="0.2">
      <c r="A97" s="662" t="s">
        <v>50</v>
      </c>
      <c r="B97" s="665" t="s">
        <v>46</v>
      </c>
      <c r="C97" s="544" t="s">
        <v>107</v>
      </c>
      <c r="D97" s="660" t="s">
        <v>354</v>
      </c>
      <c r="E97" s="544" t="s">
        <v>70</v>
      </c>
      <c r="F97" s="397">
        <v>188718713</v>
      </c>
      <c r="G97" s="130" t="s">
        <v>40</v>
      </c>
      <c r="H97" s="119">
        <v>53.3</v>
      </c>
      <c r="I97" s="119"/>
      <c r="J97" s="119"/>
      <c r="K97" s="119"/>
      <c r="L97" s="208">
        <f>H97*1.05</f>
        <v>55.964999999999996</v>
      </c>
      <c r="M97" s="208">
        <f>L97*1.05</f>
        <v>58.763249999999999</v>
      </c>
      <c r="N97" s="208">
        <f t="shared" si="44"/>
        <v>168.02825000000001</v>
      </c>
      <c r="O97" s="462" t="s">
        <v>355</v>
      </c>
      <c r="P97" s="536" t="s">
        <v>62</v>
      </c>
      <c r="Q97" s="632">
        <v>170</v>
      </c>
      <c r="R97" s="632">
        <v>180</v>
      </c>
      <c r="S97" s="632">
        <v>185</v>
      </c>
      <c r="T97" s="401" t="s">
        <v>244</v>
      </c>
      <c r="U97" s="627"/>
    </row>
    <row r="98" spans="1:21" ht="12.75" hidden="1" x14ac:dyDescent="0.2">
      <c r="A98" s="663"/>
      <c r="B98" s="666"/>
      <c r="C98" s="591"/>
      <c r="D98" s="668"/>
      <c r="E98" s="591"/>
      <c r="F98" s="457"/>
      <c r="G98" s="126" t="s">
        <v>23</v>
      </c>
      <c r="H98" s="123">
        <f>+H97</f>
        <v>53.3</v>
      </c>
      <c r="I98" s="123">
        <f t="shared" ref="I98:M98" si="48">+I97</f>
        <v>0</v>
      </c>
      <c r="J98" s="123">
        <f t="shared" si="48"/>
        <v>0</v>
      </c>
      <c r="K98" s="123">
        <f t="shared" si="48"/>
        <v>0</v>
      </c>
      <c r="L98" s="123">
        <f t="shared" si="48"/>
        <v>55.964999999999996</v>
      </c>
      <c r="M98" s="123">
        <f t="shared" si="48"/>
        <v>58.763249999999999</v>
      </c>
      <c r="N98" s="209">
        <f t="shared" si="44"/>
        <v>168.02825000000001</v>
      </c>
      <c r="O98" s="631"/>
      <c r="P98" s="547"/>
      <c r="Q98" s="633"/>
      <c r="R98" s="633"/>
      <c r="S98" s="633"/>
      <c r="T98" s="431"/>
      <c r="U98" s="627"/>
    </row>
    <row r="99" spans="1:21" ht="12.75" hidden="1" x14ac:dyDescent="0.2">
      <c r="A99" s="663"/>
      <c r="B99" s="666"/>
      <c r="C99" s="591"/>
      <c r="D99" s="668"/>
      <c r="E99" s="591"/>
      <c r="F99" s="457"/>
      <c r="G99" s="126" t="s">
        <v>95</v>
      </c>
      <c r="H99" s="123">
        <v>87.7</v>
      </c>
      <c r="I99" s="123"/>
      <c r="J99" s="123"/>
      <c r="K99" s="123"/>
      <c r="L99" s="209">
        <f>H99*1.05</f>
        <v>92.085000000000008</v>
      </c>
      <c r="M99" s="123">
        <f>SUM(+(L99*0.05)+L99)</f>
        <v>96.689250000000015</v>
      </c>
      <c r="N99" s="209">
        <f t="shared" si="44"/>
        <v>276.47425000000004</v>
      </c>
      <c r="O99" s="631"/>
      <c r="P99" s="547"/>
      <c r="Q99" s="633"/>
      <c r="R99" s="633"/>
      <c r="S99" s="633"/>
      <c r="T99" s="431"/>
      <c r="U99" s="627"/>
    </row>
    <row r="100" spans="1:21" ht="12.95" hidden="1" customHeight="1" x14ac:dyDescent="0.2">
      <c r="A100" s="664"/>
      <c r="B100" s="667"/>
      <c r="C100" s="545"/>
      <c r="D100" s="661"/>
      <c r="E100" s="545"/>
      <c r="F100" s="398"/>
      <c r="G100" s="126" t="s">
        <v>23</v>
      </c>
      <c r="H100" s="123">
        <f>SUM(H99)</f>
        <v>87.7</v>
      </c>
      <c r="I100" s="123">
        <f t="shared" ref="I100:M100" si="49">SUM(I99)</f>
        <v>0</v>
      </c>
      <c r="J100" s="123">
        <f t="shared" si="49"/>
        <v>0</v>
      </c>
      <c r="K100" s="123">
        <f t="shared" si="49"/>
        <v>0</v>
      </c>
      <c r="L100" s="123">
        <f t="shared" si="49"/>
        <v>92.085000000000008</v>
      </c>
      <c r="M100" s="123">
        <f t="shared" si="49"/>
        <v>96.689250000000015</v>
      </c>
      <c r="N100" s="209">
        <f t="shared" si="44"/>
        <v>276.47425000000004</v>
      </c>
      <c r="O100" s="463"/>
      <c r="P100" s="537"/>
      <c r="Q100" s="634"/>
      <c r="R100" s="634"/>
      <c r="S100" s="634"/>
      <c r="T100" s="402"/>
      <c r="U100" s="627"/>
    </row>
    <row r="101" spans="1:21" ht="12.95" hidden="1" customHeight="1" x14ac:dyDescent="0.2">
      <c r="A101" s="662" t="s">
        <v>50</v>
      </c>
      <c r="B101" s="665" t="s">
        <v>46</v>
      </c>
      <c r="C101" s="544" t="s">
        <v>59</v>
      </c>
      <c r="D101" s="643" t="s">
        <v>356</v>
      </c>
      <c r="E101" s="544" t="s">
        <v>70</v>
      </c>
      <c r="F101" s="397">
        <v>188718713</v>
      </c>
      <c r="G101" s="130" t="s">
        <v>40</v>
      </c>
      <c r="H101" s="119">
        <v>167.5</v>
      </c>
      <c r="I101" s="119"/>
      <c r="J101" s="119"/>
      <c r="K101" s="119"/>
      <c r="L101" s="208">
        <f>H101*1.05</f>
        <v>175.875</v>
      </c>
      <c r="M101" s="208">
        <f>L101*1.05</f>
        <v>184.66875000000002</v>
      </c>
      <c r="N101" s="208">
        <f t="shared" si="44"/>
        <v>528.04375000000005</v>
      </c>
      <c r="O101" s="86" t="s">
        <v>357</v>
      </c>
      <c r="P101" s="128" t="s">
        <v>62</v>
      </c>
      <c r="Q101" s="128">
        <v>109</v>
      </c>
      <c r="R101" s="128">
        <v>110</v>
      </c>
      <c r="S101" s="86">
        <v>112</v>
      </c>
      <c r="T101" s="401" t="s">
        <v>301</v>
      </c>
      <c r="U101" s="191"/>
    </row>
    <row r="102" spans="1:21" ht="39.75" hidden="1" customHeight="1" x14ac:dyDescent="0.2">
      <c r="A102" s="664"/>
      <c r="B102" s="667"/>
      <c r="C102" s="545"/>
      <c r="D102" s="645"/>
      <c r="E102" s="545"/>
      <c r="F102" s="398"/>
      <c r="G102" s="126" t="s">
        <v>23</v>
      </c>
      <c r="H102" s="123">
        <f>+H101</f>
        <v>167.5</v>
      </c>
      <c r="I102" s="123">
        <f t="shared" ref="I102:M102" si="50">+I101</f>
        <v>0</v>
      </c>
      <c r="J102" s="123">
        <f t="shared" si="50"/>
        <v>0</v>
      </c>
      <c r="K102" s="123">
        <f t="shared" si="50"/>
        <v>0</v>
      </c>
      <c r="L102" s="123">
        <f t="shared" si="50"/>
        <v>175.875</v>
      </c>
      <c r="M102" s="123">
        <f t="shared" si="50"/>
        <v>184.66875000000002</v>
      </c>
      <c r="N102" s="209">
        <f t="shared" si="44"/>
        <v>528.04375000000005</v>
      </c>
      <c r="O102" s="107" t="s">
        <v>358</v>
      </c>
      <c r="P102" s="124" t="s">
        <v>62</v>
      </c>
      <c r="Q102" s="124">
        <v>18</v>
      </c>
      <c r="R102" s="124">
        <v>20</v>
      </c>
      <c r="S102" s="193">
        <v>22</v>
      </c>
      <c r="T102" s="402"/>
      <c r="U102" s="191" t="s">
        <v>359</v>
      </c>
    </row>
    <row r="103" spans="1:21" ht="26.1" hidden="1" customHeight="1" x14ac:dyDescent="0.2">
      <c r="A103" s="404" t="s">
        <v>50</v>
      </c>
      <c r="B103" s="406" t="s">
        <v>46</v>
      </c>
      <c r="C103" s="544" t="s">
        <v>114</v>
      </c>
      <c r="D103" s="617" t="s">
        <v>360</v>
      </c>
      <c r="E103" s="544" t="s">
        <v>70</v>
      </c>
      <c r="F103" s="397">
        <v>188718713</v>
      </c>
      <c r="G103" s="130" t="s">
        <v>40</v>
      </c>
      <c r="H103" s="119">
        <v>30</v>
      </c>
      <c r="I103" s="119"/>
      <c r="J103" s="119"/>
      <c r="K103" s="119"/>
      <c r="L103" s="208">
        <f>H103*1.05</f>
        <v>31.5</v>
      </c>
      <c r="M103" s="208">
        <f>L103*1.05</f>
        <v>33.075000000000003</v>
      </c>
      <c r="N103" s="208">
        <f t="shared" si="44"/>
        <v>94.575000000000003</v>
      </c>
      <c r="O103" s="378" t="s">
        <v>361</v>
      </c>
      <c r="P103" s="536" t="s">
        <v>62</v>
      </c>
      <c r="Q103" s="536">
        <v>32</v>
      </c>
      <c r="R103" s="536">
        <v>34</v>
      </c>
      <c r="S103" s="536">
        <v>40</v>
      </c>
      <c r="T103" s="401" t="s">
        <v>362</v>
      </c>
      <c r="U103" s="189"/>
    </row>
    <row r="104" spans="1:21" ht="18" hidden="1" customHeight="1" x14ac:dyDescent="0.2">
      <c r="A104" s="405"/>
      <c r="B104" s="407"/>
      <c r="C104" s="545"/>
      <c r="D104" s="638"/>
      <c r="E104" s="545"/>
      <c r="F104" s="398"/>
      <c r="G104" s="126" t="s">
        <v>23</v>
      </c>
      <c r="H104" s="123">
        <f>+H103</f>
        <v>30</v>
      </c>
      <c r="I104" s="123">
        <f t="shared" ref="I104:M104" si="51">+I103</f>
        <v>0</v>
      </c>
      <c r="J104" s="123">
        <f t="shared" si="51"/>
        <v>0</v>
      </c>
      <c r="K104" s="123">
        <f t="shared" si="51"/>
        <v>0</v>
      </c>
      <c r="L104" s="123">
        <f t="shared" si="51"/>
        <v>31.5</v>
      </c>
      <c r="M104" s="123">
        <f t="shared" si="51"/>
        <v>33.075000000000003</v>
      </c>
      <c r="N104" s="209">
        <f t="shared" si="44"/>
        <v>94.575000000000003</v>
      </c>
      <c r="O104" s="379"/>
      <c r="P104" s="537"/>
      <c r="Q104" s="537"/>
      <c r="R104" s="537"/>
      <c r="S104" s="537"/>
      <c r="T104" s="402"/>
      <c r="U104" s="189"/>
    </row>
    <row r="105" spans="1:21" ht="14.25" hidden="1" customHeight="1" x14ac:dyDescent="0.2">
      <c r="A105" s="27" t="s">
        <v>50</v>
      </c>
      <c r="B105" s="32" t="s">
        <v>50</v>
      </c>
      <c r="C105" s="424" t="s">
        <v>363</v>
      </c>
      <c r="D105" s="425"/>
      <c r="E105" s="425"/>
      <c r="F105" s="425"/>
      <c r="G105" s="425"/>
      <c r="H105" s="425"/>
      <c r="I105" s="425"/>
      <c r="J105" s="425"/>
      <c r="K105" s="425"/>
      <c r="L105" s="425"/>
      <c r="M105" s="425"/>
      <c r="N105" s="425"/>
      <c r="O105" s="425"/>
      <c r="P105" s="425"/>
      <c r="Q105" s="425"/>
      <c r="R105" s="425"/>
      <c r="S105" s="425"/>
      <c r="T105" s="426"/>
      <c r="U105" s="189"/>
    </row>
    <row r="106" spans="1:21" ht="12.75" hidden="1" x14ac:dyDescent="0.2">
      <c r="A106" s="404" t="s">
        <v>50</v>
      </c>
      <c r="B106" s="406" t="s">
        <v>50</v>
      </c>
      <c r="C106" s="408" t="s">
        <v>46</v>
      </c>
      <c r="D106" s="643" t="s">
        <v>364</v>
      </c>
      <c r="E106" s="544" t="s">
        <v>70</v>
      </c>
      <c r="F106" s="397">
        <v>188718713</v>
      </c>
      <c r="G106" s="130" t="s">
        <v>40</v>
      </c>
      <c r="H106" s="119">
        <v>12</v>
      </c>
      <c r="I106" s="119"/>
      <c r="J106" s="119"/>
      <c r="K106" s="119"/>
      <c r="L106" s="208">
        <f>H106*1.05</f>
        <v>12.600000000000001</v>
      </c>
      <c r="M106" s="208">
        <f>L106*1.05</f>
        <v>13.230000000000002</v>
      </c>
      <c r="N106" s="208">
        <f t="shared" ref="N106:N107" si="52">SUM(I106+L106+M106)+H106</f>
        <v>37.830000000000005</v>
      </c>
      <c r="O106" s="378" t="s">
        <v>365</v>
      </c>
      <c r="P106" s="536" t="s">
        <v>62</v>
      </c>
      <c r="Q106" s="632">
        <v>50</v>
      </c>
      <c r="R106" s="632">
        <v>50</v>
      </c>
      <c r="S106" s="632">
        <v>50</v>
      </c>
      <c r="T106" s="401" t="s">
        <v>244</v>
      </c>
      <c r="U106" s="191"/>
    </row>
    <row r="107" spans="1:21" ht="17.25" hidden="1" customHeight="1" x14ac:dyDescent="0.2">
      <c r="A107" s="405"/>
      <c r="B107" s="407"/>
      <c r="C107" s="409"/>
      <c r="D107" s="645"/>
      <c r="E107" s="545"/>
      <c r="F107" s="398"/>
      <c r="G107" s="126" t="s">
        <v>23</v>
      </c>
      <c r="H107" s="123">
        <f>+H106</f>
        <v>12</v>
      </c>
      <c r="I107" s="123">
        <f t="shared" ref="I107:M107" si="53">+I106</f>
        <v>0</v>
      </c>
      <c r="J107" s="123">
        <f t="shared" si="53"/>
        <v>0</v>
      </c>
      <c r="K107" s="123">
        <f t="shared" si="53"/>
        <v>0</v>
      </c>
      <c r="L107" s="123">
        <f t="shared" si="53"/>
        <v>12.600000000000001</v>
      </c>
      <c r="M107" s="123">
        <f t="shared" si="53"/>
        <v>13.230000000000002</v>
      </c>
      <c r="N107" s="209">
        <f t="shared" si="52"/>
        <v>37.830000000000005</v>
      </c>
      <c r="O107" s="379"/>
      <c r="P107" s="537"/>
      <c r="Q107" s="634"/>
      <c r="R107" s="634"/>
      <c r="S107" s="634"/>
      <c r="T107" s="402"/>
      <c r="U107" s="189"/>
    </row>
    <row r="108" spans="1:21" hidden="1" x14ac:dyDescent="0.2">
      <c r="A108" s="27" t="s">
        <v>50</v>
      </c>
      <c r="B108" s="32" t="s">
        <v>55</v>
      </c>
      <c r="C108" s="424" t="s">
        <v>366</v>
      </c>
      <c r="D108" s="425"/>
      <c r="E108" s="425"/>
      <c r="F108" s="425"/>
      <c r="G108" s="425"/>
      <c r="H108" s="425"/>
      <c r="I108" s="425"/>
      <c r="J108" s="425"/>
      <c r="K108" s="425"/>
      <c r="L108" s="425"/>
      <c r="M108" s="425"/>
      <c r="N108" s="425"/>
      <c r="O108" s="425"/>
      <c r="P108" s="425"/>
      <c r="Q108" s="425"/>
      <c r="R108" s="425"/>
      <c r="S108" s="425"/>
      <c r="T108" s="426"/>
      <c r="U108" s="194"/>
    </row>
    <row r="109" spans="1:21" ht="15" hidden="1" customHeight="1" x14ac:dyDescent="0.2">
      <c r="A109" s="669" t="s">
        <v>50</v>
      </c>
      <c r="B109" s="672" t="s">
        <v>55</v>
      </c>
      <c r="C109" s="675" t="s">
        <v>36</v>
      </c>
      <c r="D109" s="678" t="s">
        <v>367</v>
      </c>
      <c r="E109" s="540" t="s">
        <v>70</v>
      </c>
      <c r="F109" s="432">
        <v>188718713</v>
      </c>
      <c r="G109" s="130" t="s">
        <v>141</v>
      </c>
      <c r="H109" s="148"/>
      <c r="I109" s="148"/>
      <c r="J109" s="148"/>
      <c r="K109" s="148"/>
      <c r="L109" s="7">
        <f>+(H109*0.05)+H109</f>
        <v>0</v>
      </c>
      <c r="M109" s="7">
        <f>+H109*0.1+H109</f>
        <v>0</v>
      </c>
      <c r="N109" s="148">
        <f>SUM(M109,L109,H109)</f>
        <v>0</v>
      </c>
      <c r="O109" s="462" t="s">
        <v>368</v>
      </c>
      <c r="P109" s="679" t="s">
        <v>62</v>
      </c>
      <c r="Q109" s="682">
        <v>0</v>
      </c>
      <c r="R109" s="682">
        <v>15</v>
      </c>
      <c r="S109" s="682">
        <v>20</v>
      </c>
      <c r="T109" s="401" t="s">
        <v>362</v>
      </c>
      <c r="U109" s="627"/>
    </row>
    <row r="110" spans="1:21" ht="15" hidden="1" customHeight="1" x14ac:dyDescent="0.2">
      <c r="A110" s="670"/>
      <c r="B110" s="673"/>
      <c r="C110" s="676"/>
      <c r="D110" s="678"/>
      <c r="E110" s="540"/>
      <c r="F110" s="432"/>
      <c r="G110" s="130" t="s">
        <v>40</v>
      </c>
      <c r="H110" s="148"/>
      <c r="I110" s="148"/>
      <c r="J110" s="148"/>
      <c r="K110" s="148"/>
      <c r="L110" s="7">
        <f>+(H110*0.05)+H110</f>
        <v>0</v>
      </c>
      <c r="M110" s="7">
        <f>+H110*0.1+H110</f>
        <v>0</v>
      </c>
      <c r="N110" s="148">
        <f>SUM(M110,L110,H110)</f>
        <v>0</v>
      </c>
      <c r="O110" s="631"/>
      <c r="P110" s="680"/>
      <c r="Q110" s="683"/>
      <c r="R110" s="683"/>
      <c r="S110" s="683"/>
      <c r="T110" s="431"/>
      <c r="U110" s="627"/>
    </row>
    <row r="111" spans="1:21" ht="15" hidden="1" customHeight="1" x14ac:dyDescent="0.2">
      <c r="A111" s="670"/>
      <c r="B111" s="673"/>
      <c r="C111" s="676"/>
      <c r="D111" s="678"/>
      <c r="E111" s="540"/>
      <c r="F111" s="432"/>
      <c r="G111" s="33" t="s">
        <v>149</v>
      </c>
      <c r="H111" s="148"/>
      <c r="I111" s="148"/>
      <c r="J111" s="148"/>
      <c r="K111" s="148"/>
      <c r="L111" s="2">
        <f>+(H111*0.05)+H111</f>
        <v>0</v>
      </c>
      <c r="M111" s="2">
        <f>+H111*0.1+H111</f>
        <v>0</v>
      </c>
      <c r="N111" s="148">
        <f>SUM(M111,L111,H111)</f>
        <v>0</v>
      </c>
      <c r="O111" s="631"/>
      <c r="P111" s="680"/>
      <c r="Q111" s="683"/>
      <c r="R111" s="683"/>
      <c r="S111" s="683"/>
      <c r="T111" s="431"/>
      <c r="U111" s="627"/>
    </row>
    <row r="112" spans="1:21" ht="10.5" hidden="1" customHeight="1" x14ac:dyDescent="0.2">
      <c r="A112" s="671"/>
      <c r="B112" s="674"/>
      <c r="C112" s="677"/>
      <c r="D112" s="678"/>
      <c r="E112" s="540"/>
      <c r="F112" s="432"/>
      <c r="G112" s="126" t="s">
        <v>23</v>
      </c>
      <c r="H112" s="150">
        <f>+H109+H111+H110</f>
        <v>0</v>
      </c>
      <c r="I112" s="150">
        <f t="shared" ref="I112:N112" si="54">+I109+I111+I110</f>
        <v>0</v>
      </c>
      <c r="J112" s="150">
        <f t="shared" si="54"/>
        <v>0</v>
      </c>
      <c r="K112" s="150">
        <f t="shared" si="54"/>
        <v>0</v>
      </c>
      <c r="L112" s="150">
        <f t="shared" si="54"/>
        <v>0</v>
      </c>
      <c r="M112" s="150">
        <f t="shared" si="54"/>
        <v>0</v>
      </c>
      <c r="N112" s="150">
        <f t="shared" si="54"/>
        <v>0</v>
      </c>
      <c r="O112" s="463"/>
      <c r="P112" s="681"/>
      <c r="Q112" s="684"/>
      <c r="R112" s="684"/>
      <c r="S112" s="684"/>
      <c r="T112" s="402"/>
      <c r="U112" s="627"/>
    </row>
    <row r="113" spans="1:20" s="182" customFormat="1" ht="14.25" customHeight="1" x14ac:dyDescent="0.2">
      <c r="A113" s="559" t="s">
        <v>236</v>
      </c>
      <c r="B113" s="560"/>
      <c r="C113" s="560"/>
      <c r="D113" s="560"/>
      <c r="E113" s="560"/>
      <c r="F113" s="560"/>
      <c r="G113" s="561"/>
      <c r="H113" s="133">
        <f>+SUM(H114:H122)</f>
        <v>19850.900000000001</v>
      </c>
      <c r="I113" s="133" t="e">
        <f t="shared" ref="I113:N113" si="55">+SUM(I114:I122)</f>
        <v>#REF!</v>
      </c>
      <c r="J113" s="133" t="e">
        <f t="shared" si="55"/>
        <v>#REF!</v>
      </c>
      <c r="K113" s="133" t="e">
        <f t="shared" si="55"/>
        <v>#REF!</v>
      </c>
      <c r="L113" s="133">
        <f t="shared" si="55"/>
        <v>10050.075000000001</v>
      </c>
      <c r="M113" s="133">
        <f t="shared" si="55"/>
        <v>10552.578750000001</v>
      </c>
      <c r="N113" s="133">
        <f t="shared" si="55"/>
        <v>62579.962250000011</v>
      </c>
      <c r="O113" s="133"/>
      <c r="P113" s="133"/>
      <c r="Q113" s="133"/>
      <c r="R113" s="133"/>
      <c r="S113" s="133"/>
      <c r="T113" s="195"/>
    </row>
    <row r="114" spans="1:20" ht="14.25" customHeight="1" x14ac:dyDescent="0.2">
      <c r="A114" s="556"/>
      <c r="B114" s="557"/>
      <c r="C114" s="557"/>
      <c r="D114" s="557"/>
      <c r="E114" s="557"/>
      <c r="F114" s="558"/>
      <c r="G114" s="34" t="s">
        <v>40</v>
      </c>
      <c r="H114" s="8">
        <f>+H13+H19+H25+H31+H42+H46+H50+H54+H58+H60+H64+H66+H71+H73+H77+H79+H94+H107+H98+H36+H110+H103+H102</f>
        <v>7324</v>
      </c>
      <c r="I114" s="8" t="e">
        <f>+I13+I19+I25+I31+I42+I46+I50+I54+I58+I60+I64+I66+I71+I73+I77+I79+I94+#REF!+I107+I98+I36+I110+#REF!+I103</f>
        <v>#REF!</v>
      </c>
      <c r="J114" s="8" t="e">
        <f>+J13+J19+J25+J31+J42+J46+J50+J54+J58+J60+J64+J66+J71+J73+J77+J79+J94+#REF!+J107+J98+J36+J110+#REF!+J103</f>
        <v>#REF!</v>
      </c>
      <c r="K114" s="8" t="e">
        <f>+K13+K19+K25+K31+K42+K46+K50+K54+K58+K60+K64+K66+K71+K73+K77+K79+K94+#REF!+K107+K98+K36+K110+#REF!+K103</f>
        <v>#REF!</v>
      </c>
      <c r="L114" s="8">
        <f>+L13+L19+L25+L31+L42+L46+L50+L54+L58+L60+L64+L66+L71+L73+L77+L79+L94+L107+L98+L36+L110+L103+L102</f>
        <v>7690.2000000000007</v>
      </c>
      <c r="M114" s="8">
        <f>+M13+M19+M25+M31+M42+M46+M50+M54+M58+M60+M64+M66+M71+M73+M77+M79+M94+M107+M98+M36+M110+M103+M102</f>
        <v>8074.71</v>
      </c>
      <c r="N114" s="8">
        <f>N12+N24+N30+N36+N41+N45+N49+N53+N57+N59+N63+N66+N70+N72+N76+N78+N93+N97+N101+N103+N106+N110+N18</f>
        <v>23088.910000000003</v>
      </c>
      <c r="O114" s="8"/>
      <c r="P114" s="8"/>
      <c r="Q114" s="8"/>
      <c r="R114" s="8"/>
      <c r="S114" s="8"/>
      <c r="T114" s="52"/>
    </row>
    <row r="115" spans="1:20" ht="14.25" customHeight="1" x14ac:dyDescent="0.2">
      <c r="A115" s="556"/>
      <c r="B115" s="557"/>
      <c r="C115" s="557"/>
      <c r="D115" s="557"/>
      <c r="E115" s="557"/>
      <c r="F115" s="558"/>
      <c r="G115" s="34" t="s">
        <v>53</v>
      </c>
      <c r="H115" s="8">
        <f t="shared" ref="H115:N115" si="56">+H15+H21+H27+H33</f>
        <v>107.9</v>
      </c>
      <c r="I115" s="8">
        <f t="shared" si="56"/>
        <v>0</v>
      </c>
      <c r="J115" s="8">
        <f t="shared" si="56"/>
        <v>0</v>
      </c>
      <c r="K115" s="8">
        <f t="shared" si="56"/>
        <v>0</v>
      </c>
      <c r="L115" s="8">
        <f t="shared" si="56"/>
        <v>113.295</v>
      </c>
      <c r="M115" s="8">
        <f t="shared" si="56"/>
        <v>118.95975000000001</v>
      </c>
      <c r="N115" s="8">
        <f t="shared" si="56"/>
        <v>340.15475000000004</v>
      </c>
      <c r="O115" s="8"/>
      <c r="P115" s="8"/>
      <c r="Q115" s="8"/>
      <c r="R115" s="8"/>
      <c r="S115" s="8"/>
      <c r="T115" s="52"/>
    </row>
    <row r="116" spans="1:20" ht="27.75" customHeight="1" x14ac:dyDescent="0.2">
      <c r="A116" s="556"/>
      <c r="B116" s="557"/>
      <c r="C116" s="557"/>
      <c r="D116" s="557"/>
      <c r="E116" s="557"/>
      <c r="F116" s="558"/>
      <c r="G116" s="34" t="s">
        <v>95</v>
      </c>
      <c r="H116" s="8">
        <f>+H44+H48+H52+H56+H62+H65+H69+H89+H92+H37+H11+H75+H100+H17+H23+H29+H35+H96</f>
        <v>2139.6000000000004</v>
      </c>
      <c r="I116" s="8">
        <f>+I44+I48+I52+I56+I62+I65+I69+I89+I92+I37+I11+I75+I100+I17+I23+I29+I35+I96</f>
        <v>0</v>
      </c>
      <c r="J116" s="8">
        <f>+J44+J48+J52+J56+J62+J65+J69+J89+J92+J37+J11+J75+J100+J16+J23+J29+J35+J96</f>
        <v>0.9</v>
      </c>
      <c r="K116" s="8">
        <f>+K44+K48+K52+K56+K62+K65+K69+K89+K92+K37+K11+K75</f>
        <v>0</v>
      </c>
      <c r="L116" s="8">
        <f>+L44+L48+L52+L56+L62+L65+L69+L89+L92+L37+L11+L75+L100+L16+L23+L29+L35+L96</f>
        <v>2246.58</v>
      </c>
      <c r="M116" s="8">
        <f>+M44+M48+M52+M56+M62+M65+M69+M89+M92+M37+M11+M75+M100+M16+M23+M29+M35+M96</f>
        <v>2358.9090000000001</v>
      </c>
      <c r="N116" s="8">
        <f>N10+N16+N22+N34+N37+N43+N47+N51+N55+N61+N65+N68+N74+N88+N91+N95+N99+N28</f>
        <v>6745.0890000000018</v>
      </c>
      <c r="O116" s="8"/>
      <c r="P116" s="8"/>
      <c r="Q116" s="8"/>
      <c r="R116" s="8"/>
      <c r="S116" s="8"/>
      <c r="T116" s="52"/>
    </row>
    <row r="117" spans="1:20" ht="14.25" customHeight="1" x14ac:dyDescent="0.2">
      <c r="A117" s="556"/>
      <c r="B117" s="557"/>
      <c r="C117" s="557"/>
      <c r="D117" s="557"/>
      <c r="E117" s="557"/>
      <c r="F117" s="558"/>
      <c r="G117" s="34" t="s">
        <v>178</v>
      </c>
      <c r="H117" s="4">
        <f>H80+H82+H84+H86</f>
        <v>10279.4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f>N81+N82+N84+N86</f>
        <v>32405.808500000003</v>
      </c>
      <c r="O117" s="4"/>
      <c r="P117" s="4"/>
      <c r="Q117" s="4"/>
      <c r="R117" s="4"/>
      <c r="S117" s="4"/>
      <c r="T117" s="120"/>
    </row>
    <row r="118" spans="1:20" ht="14.25" customHeight="1" x14ac:dyDescent="0.2">
      <c r="A118" s="556"/>
      <c r="B118" s="557"/>
      <c r="C118" s="557"/>
      <c r="D118" s="557"/>
      <c r="E118" s="557"/>
      <c r="F118" s="558"/>
      <c r="G118" s="34" t="s">
        <v>149</v>
      </c>
      <c r="H118" s="4">
        <f>+H111</f>
        <v>0</v>
      </c>
      <c r="I118" s="4" t="e">
        <f>+I111+#REF!</f>
        <v>#REF!</v>
      </c>
      <c r="J118" s="4" t="e">
        <f>+J111+#REF!</f>
        <v>#REF!</v>
      </c>
      <c r="K118" s="4" t="e">
        <f>+K111+#REF!</f>
        <v>#REF!</v>
      </c>
      <c r="L118" s="4">
        <f>+L111</f>
        <v>0</v>
      </c>
      <c r="M118" s="4">
        <f>+M111</f>
        <v>0</v>
      </c>
      <c r="N118" s="4">
        <f>+N111</f>
        <v>0</v>
      </c>
      <c r="O118" s="4"/>
      <c r="P118" s="4"/>
      <c r="Q118" s="4"/>
      <c r="R118" s="4"/>
      <c r="S118" s="4"/>
      <c r="T118" s="120"/>
    </row>
    <row r="119" spans="1:20" ht="14.25" customHeight="1" x14ac:dyDescent="0.2">
      <c r="A119" s="556"/>
      <c r="B119" s="557"/>
      <c r="C119" s="557"/>
      <c r="D119" s="557"/>
      <c r="E119" s="557"/>
      <c r="F119" s="558"/>
      <c r="G119" s="34" t="s">
        <v>179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/>
      <c r="P119" s="4"/>
      <c r="Q119" s="4"/>
      <c r="R119" s="4"/>
      <c r="S119" s="4"/>
      <c r="T119" s="120"/>
    </row>
    <row r="120" spans="1:20" ht="14.25" customHeight="1" x14ac:dyDescent="0.2">
      <c r="A120" s="556"/>
      <c r="B120" s="557"/>
      <c r="C120" s="557"/>
      <c r="D120" s="557"/>
      <c r="E120" s="557"/>
      <c r="F120" s="558"/>
      <c r="G120" s="34" t="s">
        <v>238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/>
      <c r="P120" s="4"/>
      <c r="Q120" s="4"/>
      <c r="R120" s="4"/>
      <c r="S120" s="4"/>
      <c r="T120" s="120"/>
    </row>
    <row r="121" spans="1:20" ht="14.25" customHeight="1" x14ac:dyDescent="0.2">
      <c r="A121" s="556"/>
      <c r="B121" s="557"/>
      <c r="C121" s="557"/>
      <c r="D121" s="557"/>
      <c r="E121" s="557"/>
      <c r="F121" s="558"/>
      <c r="G121" s="34" t="s">
        <v>141</v>
      </c>
      <c r="H121" s="4">
        <f>H109</f>
        <v>0</v>
      </c>
      <c r="I121" s="4" t="e">
        <f>+#REF!+I109</f>
        <v>#REF!</v>
      </c>
      <c r="J121" s="4" t="e">
        <f>+#REF!+J109</f>
        <v>#REF!</v>
      </c>
      <c r="K121" s="4" t="e">
        <f>+#REF!+K109</f>
        <v>#REF!</v>
      </c>
      <c r="L121" s="4">
        <f>L109</f>
        <v>0</v>
      </c>
      <c r="M121" s="4">
        <f>+M109</f>
        <v>0</v>
      </c>
      <c r="N121" s="4">
        <f>N109</f>
        <v>0</v>
      </c>
      <c r="O121" s="4"/>
      <c r="P121" s="4"/>
      <c r="Q121" s="4"/>
      <c r="R121" s="4"/>
      <c r="S121" s="4"/>
      <c r="T121" s="120"/>
    </row>
    <row r="122" spans="1:20" ht="14.25" customHeight="1" x14ac:dyDescent="0.2">
      <c r="A122" s="556"/>
      <c r="B122" s="557"/>
      <c r="C122" s="557"/>
      <c r="D122" s="557"/>
      <c r="E122" s="557"/>
      <c r="F122" s="558"/>
      <c r="G122" s="53" t="s">
        <v>144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/>
      <c r="P122" s="4"/>
      <c r="Q122" s="4"/>
      <c r="R122" s="4"/>
      <c r="S122" s="4"/>
      <c r="T122" s="120"/>
    </row>
    <row r="123" spans="1:20" ht="14.25" customHeight="1" x14ac:dyDescent="0.2">
      <c r="H123" s="196"/>
    </row>
    <row r="124" spans="1:20" ht="14.25" customHeight="1" x14ac:dyDescent="0.2"/>
    <row r="125" spans="1:20" ht="14.25" customHeight="1" x14ac:dyDescent="0.2"/>
    <row r="126" spans="1:20" ht="14.25" customHeight="1" x14ac:dyDescent="0.2"/>
    <row r="127" spans="1:20" ht="14.25" customHeight="1" x14ac:dyDescent="0.2"/>
    <row r="128" spans="1:20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</sheetData>
  <mergeCells count="462">
    <mergeCell ref="O82:O83"/>
    <mergeCell ref="O84:O85"/>
    <mergeCell ref="O86:O87"/>
    <mergeCell ref="P82:P83"/>
    <mergeCell ref="D86:D87"/>
    <mergeCell ref="T86:T87"/>
    <mergeCell ref="A86:A87"/>
    <mergeCell ref="B86:B87"/>
    <mergeCell ref="C86:C87"/>
    <mergeCell ref="P86:P87"/>
    <mergeCell ref="Q86:Q87"/>
    <mergeCell ref="R86:R87"/>
    <mergeCell ref="S86:S87"/>
    <mergeCell ref="Q82:Q83"/>
    <mergeCell ref="R82:R83"/>
    <mergeCell ref="S82:S83"/>
    <mergeCell ref="T82:T83"/>
    <mergeCell ref="P84:P85"/>
    <mergeCell ref="Q84:Q85"/>
    <mergeCell ref="R84:R85"/>
    <mergeCell ref="S84:S85"/>
    <mergeCell ref="T84:T85"/>
    <mergeCell ref="B84:B85"/>
    <mergeCell ref="F86:F87"/>
    <mergeCell ref="E86:E87"/>
    <mergeCell ref="C80:C81"/>
    <mergeCell ref="C78:C79"/>
    <mergeCell ref="B78:B79"/>
    <mergeCell ref="A78:A79"/>
    <mergeCell ref="E78:E79"/>
    <mergeCell ref="E80:E81"/>
    <mergeCell ref="F80:F81"/>
    <mergeCell ref="A80:A81"/>
    <mergeCell ref="B80:B81"/>
    <mergeCell ref="A82:A83"/>
    <mergeCell ref="B82:B83"/>
    <mergeCell ref="C82:C83"/>
    <mergeCell ref="E82:E83"/>
    <mergeCell ref="F82:F83"/>
    <mergeCell ref="D82:D83"/>
    <mergeCell ref="A84:A85"/>
    <mergeCell ref="C84:C85"/>
    <mergeCell ref="D84:D85"/>
    <mergeCell ref="E84:E85"/>
    <mergeCell ref="F84:F85"/>
    <mergeCell ref="A120:F120"/>
    <mergeCell ref="A121:F121"/>
    <mergeCell ref="A122:F122"/>
    <mergeCell ref="U109:U112"/>
    <mergeCell ref="A113:G113"/>
    <mergeCell ref="A114:F114"/>
    <mergeCell ref="A115:F115"/>
    <mergeCell ref="A116:F116"/>
    <mergeCell ref="A117:F117"/>
    <mergeCell ref="O109:O112"/>
    <mergeCell ref="P109:P112"/>
    <mergeCell ref="Q109:Q112"/>
    <mergeCell ref="R109:R112"/>
    <mergeCell ref="S109:S112"/>
    <mergeCell ref="T109:T112"/>
    <mergeCell ref="C108:T108"/>
    <mergeCell ref="A109:A112"/>
    <mergeCell ref="B109:B112"/>
    <mergeCell ref="C109:C112"/>
    <mergeCell ref="D109:D112"/>
    <mergeCell ref="E109:E112"/>
    <mergeCell ref="F109:F112"/>
    <mergeCell ref="A118:F118"/>
    <mergeCell ref="A119:F119"/>
    <mergeCell ref="C105:T105"/>
    <mergeCell ref="A106:A107"/>
    <mergeCell ref="B106:B107"/>
    <mergeCell ref="C106:C107"/>
    <mergeCell ref="D106:D107"/>
    <mergeCell ref="E106:E107"/>
    <mergeCell ref="F106:F107"/>
    <mergeCell ref="O106:O107"/>
    <mergeCell ref="P106:P107"/>
    <mergeCell ref="Q106:Q107"/>
    <mergeCell ref="R106:R107"/>
    <mergeCell ref="S106:S107"/>
    <mergeCell ref="T106:T107"/>
    <mergeCell ref="O103:O104"/>
    <mergeCell ref="P103:P104"/>
    <mergeCell ref="Q103:Q104"/>
    <mergeCell ref="R103:R104"/>
    <mergeCell ref="S103:S104"/>
    <mergeCell ref="T103:T104"/>
    <mergeCell ref="A103:A104"/>
    <mergeCell ref="B103:B104"/>
    <mergeCell ref="C103:C104"/>
    <mergeCell ref="D103:D104"/>
    <mergeCell ref="E103:E104"/>
    <mergeCell ref="F103:F104"/>
    <mergeCell ref="U97:U100"/>
    <mergeCell ref="A101:A102"/>
    <mergeCell ref="B101:B102"/>
    <mergeCell ref="C101:C102"/>
    <mergeCell ref="D101:D102"/>
    <mergeCell ref="E101:E102"/>
    <mergeCell ref="F101:F102"/>
    <mergeCell ref="T101:T102"/>
    <mergeCell ref="O97:O100"/>
    <mergeCell ref="P97:P100"/>
    <mergeCell ref="Q97:Q100"/>
    <mergeCell ref="R97:R100"/>
    <mergeCell ref="S97:S100"/>
    <mergeCell ref="T97:T100"/>
    <mergeCell ref="A97:A100"/>
    <mergeCell ref="B97:B100"/>
    <mergeCell ref="C97:C100"/>
    <mergeCell ref="D97:D100"/>
    <mergeCell ref="E97:E100"/>
    <mergeCell ref="F97:F100"/>
    <mergeCell ref="Q93:Q94"/>
    <mergeCell ref="R93:R94"/>
    <mergeCell ref="S93:S94"/>
    <mergeCell ref="T93:T96"/>
    <mergeCell ref="U93:U96"/>
    <mergeCell ref="O95:O96"/>
    <mergeCell ref="P95:P96"/>
    <mergeCell ref="Q95:Q96"/>
    <mergeCell ref="R95:R96"/>
    <mergeCell ref="S95:S96"/>
    <mergeCell ref="A93:A96"/>
    <mergeCell ref="B93:B96"/>
    <mergeCell ref="C93:C96"/>
    <mergeCell ref="D93:D96"/>
    <mergeCell ref="E93:E96"/>
    <mergeCell ref="F93:F96"/>
    <mergeCell ref="O93:O94"/>
    <mergeCell ref="P93:P94"/>
    <mergeCell ref="F91:F92"/>
    <mergeCell ref="O91:O92"/>
    <mergeCell ref="P91:P92"/>
    <mergeCell ref="R88:R89"/>
    <mergeCell ref="S88:S89"/>
    <mergeCell ref="T88:T89"/>
    <mergeCell ref="U88:U89"/>
    <mergeCell ref="C90:T90"/>
    <mergeCell ref="A91:A92"/>
    <mergeCell ref="B91:B92"/>
    <mergeCell ref="C91:C92"/>
    <mergeCell ref="D91:D92"/>
    <mergeCell ref="E91:E92"/>
    <mergeCell ref="T91:T92"/>
    <mergeCell ref="U91:U92"/>
    <mergeCell ref="Q91:Q92"/>
    <mergeCell ref="R91:R92"/>
    <mergeCell ref="S91:S92"/>
    <mergeCell ref="A88:A89"/>
    <mergeCell ref="B88:B89"/>
    <mergeCell ref="C88:C89"/>
    <mergeCell ref="D88:D89"/>
    <mergeCell ref="E88:E89"/>
    <mergeCell ref="F88:F89"/>
    <mergeCell ref="O88:O89"/>
    <mergeCell ref="P88:P89"/>
    <mergeCell ref="Q88:Q89"/>
    <mergeCell ref="P78:P79"/>
    <mergeCell ref="Q78:Q79"/>
    <mergeCell ref="R78:R79"/>
    <mergeCell ref="S78:S79"/>
    <mergeCell ref="T78:T79"/>
    <mergeCell ref="R76:R77"/>
    <mergeCell ref="S76:S77"/>
    <mergeCell ref="T76:T77"/>
    <mergeCell ref="D80:D81"/>
    <mergeCell ref="O78:O79"/>
    <mergeCell ref="D78:D79"/>
    <mergeCell ref="F78:F79"/>
    <mergeCell ref="O80:O81"/>
    <mergeCell ref="P80:P81"/>
    <mergeCell ref="S80:S81"/>
    <mergeCell ref="R80:R81"/>
    <mergeCell ref="Q80:Q81"/>
    <mergeCell ref="T80:T81"/>
    <mergeCell ref="U76:U77"/>
    <mergeCell ref="T72:T75"/>
    <mergeCell ref="A76:A77"/>
    <mergeCell ref="B76:B77"/>
    <mergeCell ref="C76:C77"/>
    <mergeCell ref="D76:D77"/>
    <mergeCell ref="E76:E77"/>
    <mergeCell ref="F76:F77"/>
    <mergeCell ref="O76:O77"/>
    <mergeCell ref="P76:P77"/>
    <mergeCell ref="Q76:Q77"/>
    <mergeCell ref="F72:F75"/>
    <mergeCell ref="O72:O75"/>
    <mergeCell ref="P72:P75"/>
    <mergeCell ref="Q72:Q75"/>
    <mergeCell ref="R72:R75"/>
    <mergeCell ref="S72:S75"/>
    <mergeCell ref="F68:F69"/>
    <mergeCell ref="O68:O69"/>
    <mergeCell ref="P68:P69"/>
    <mergeCell ref="Q68:Q69"/>
    <mergeCell ref="A72:A75"/>
    <mergeCell ref="B72:B75"/>
    <mergeCell ref="C72:C75"/>
    <mergeCell ref="D72:D75"/>
    <mergeCell ref="E72:E75"/>
    <mergeCell ref="D61:D64"/>
    <mergeCell ref="E61:E64"/>
    <mergeCell ref="F61:F62"/>
    <mergeCell ref="O61:O64"/>
    <mergeCell ref="R68:R69"/>
    <mergeCell ref="S68:S69"/>
    <mergeCell ref="T68:T69"/>
    <mergeCell ref="A70:A71"/>
    <mergeCell ref="B70:B71"/>
    <mergeCell ref="C70:C71"/>
    <mergeCell ref="D70:D71"/>
    <mergeCell ref="E70:E71"/>
    <mergeCell ref="F70:F71"/>
    <mergeCell ref="O70:O71"/>
    <mergeCell ref="P70:P71"/>
    <mergeCell ref="Q70:Q71"/>
    <mergeCell ref="R70:R71"/>
    <mergeCell ref="S70:S71"/>
    <mergeCell ref="T70:T71"/>
    <mergeCell ref="A68:A69"/>
    <mergeCell ref="B68:B69"/>
    <mergeCell ref="C68:C69"/>
    <mergeCell ref="D68:D69"/>
    <mergeCell ref="E68:E69"/>
    <mergeCell ref="A65:A67"/>
    <mergeCell ref="B65:B67"/>
    <mergeCell ref="C65:C67"/>
    <mergeCell ref="D65:D67"/>
    <mergeCell ref="E65:E67"/>
    <mergeCell ref="F65:F67"/>
    <mergeCell ref="U65:U67"/>
    <mergeCell ref="O65:O67"/>
    <mergeCell ref="P65:P67"/>
    <mergeCell ref="Q65:Q67"/>
    <mergeCell ref="R65:R67"/>
    <mergeCell ref="S65:S67"/>
    <mergeCell ref="T65:T67"/>
    <mergeCell ref="P61:P64"/>
    <mergeCell ref="Q61:Q64"/>
    <mergeCell ref="T55:T58"/>
    <mergeCell ref="U55:U58"/>
    <mergeCell ref="A59:A60"/>
    <mergeCell ref="B59:B60"/>
    <mergeCell ref="C59:C60"/>
    <mergeCell ref="D59:D60"/>
    <mergeCell ref="E59:E60"/>
    <mergeCell ref="F59:F60"/>
    <mergeCell ref="U59:U60"/>
    <mergeCell ref="O59:O60"/>
    <mergeCell ref="P59:P60"/>
    <mergeCell ref="Q59:Q60"/>
    <mergeCell ref="R59:R60"/>
    <mergeCell ref="S59:S60"/>
    <mergeCell ref="T59:T60"/>
    <mergeCell ref="R61:R64"/>
    <mergeCell ref="S61:S64"/>
    <mergeCell ref="T61:T64"/>
    <mergeCell ref="U61:U64"/>
    <mergeCell ref="A61:A64"/>
    <mergeCell ref="B61:B64"/>
    <mergeCell ref="C61:C64"/>
    <mergeCell ref="U51:U54"/>
    <mergeCell ref="A55:A58"/>
    <mergeCell ref="B55:B58"/>
    <mergeCell ref="C55:C58"/>
    <mergeCell ref="D55:D58"/>
    <mergeCell ref="E55:E58"/>
    <mergeCell ref="F55:F58"/>
    <mergeCell ref="O55:O58"/>
    <mergeCell ref="P55:P58"/>
    <mergeCell ref="Q55:Q58"/>
    <mergeCell ref="O51:O54"/>
    <mergeCell ref="P51:P54"/>
    <mergeCell ref="Q51:Q54"/>
    <mergeCell ref="R51:R54"/>
    <mergeCell ref="S51:S54"/>
    <mergeCell ref="T51:T54"/>
    <mergeCell ref="A51:A54"/>
    <mergeCell ref="B51:B54"/>
    <mergeCell ref="C51:C54"/>
    <mergeCell ref="D51:D54"/>
    <mergeCell ref="E51:E54"/>
    <mergeCell ref="F51:F54"/>
    <mergeCell ref="R55:R58"/>
    <mergeCell ref="S55:S58"/>
    <mergeCell ref="R45:R46"/>
    <mergeCell ref="S45:S46"/>
    <mergeCell ref="O49:O50"/>
    <mergeCell ref="P49:P50"/>
    <mergeCell ref="Q49:Q50"/>
    <mergeCell ref="R49:R50"/>
    <mergeCell ref="S49:S50"/>
    <mergeCell ref="T49:T50"/>
    <mergeCell ref="A49:A50"/>
    <mergeCell ref="B49:B50"/>
    <mergeCell ref="C49:C50"/>
    <mergeCell ref="D49:D50"/>
    <mergeCell ref="E49:E50"/>
    <mergeCell ref="F49:F50"/>
    <mergeCell ref="A45:A46"/>
    <mergeCell ref="B45:B46"/>
    <mergeCell ref="C45:C46"/>
    <mergeCell ref="D45:D46"/>
    <mergeCell ref="E45:E46"/>
    <mergeCell ref="F45:F46"/>
    <mergeCell ref="O45:O46"/>
    <mergeCell ref="P45:P46"/>
    <mergeCell ref="Q45:Q46"/>
    <mergeCell ref="O47:O48"/>
    <mergeCell ref="P47:P48"/>
    <mergeCell ref="Q47:Q48"/>
    <mergeCell ref="R47:R48"/>
    <mergeCell ref="S47:S48"/>
    <mergeCell ref="T47:T48"/>
    <mergeCell ref="A47:A48"/>
    <mergeCell ref="B47:B48"/>
    <mergeCell ref="C47:C48"/>
    <mergeCell ref="D47:D48"/>
    <mergeCell ref="E47:E48"/>
    <mergeCell ref="F47:F48"/>
    <mergeCell ref="T45:T46"/>
    <mergeCell ref="U45:U46"/>
    <mergeCell ref="R43:R44"/>
    <mergeCell ref="B39:T39"/>
    <mergeCell ref="C40:T40"/>
    <mergeCell ref="A41:A42"/>
    <mergeCell ref="B41:B42"/>
    <mergeCell ref="C41:C42"/>
    <mergeCell ref="D41:D42"/>
    <mergeCell ref="E41:E42"/>
    <mergeCell ref="F41:F42"/>
    <mergeCell ref="T41:T42"/>
    <mergeCell ref="U41:U42"/>
    <mergeCell ref="A43:A44"/>
    <mergeCell ref="B43:B44"/>
    <mergeCell ref="C43:C44"/>
    <mergeCell ref="D43:D44"/>
    <mergeCell ref="E43:E44"/>
    <mergeCell ref="F43:F44"/>
    <mergeCell ref="O43:O44"/>
    <mergeCell ref="P43:P44"/>
    <mergeCell ref="Q43:Q44"/>
    <mergeCell ref="S43:S44"/>
    <mergeCell ref="T43:T44"/>
    <mergeCell ref="T36:T38"/>
    <mergeCell ref="U36:U38"/>
    <mergeCell ref="O37:O38"/>
    <mergeCell ref="P37:P38"/>
    <mergeCell ref="Q37:Q38"/>
    <mergeCell ref="R37:R38"/>
    <mergeCell ref="S37:S38"/>
    <mergeCell ref="A36:A38"/>
    <mergeCell ref="B36:B38"/>
    <mergeCell ref="C36:C38"/>
    <mergeCell ref="D36:D38"/>
    <mergeCell ref="E36:E38"/>
    <mergeCell ref="F36:F38"/>
    <mergeCell ref="U30:U35"/>
    <mergeCell ref="O33:O35"/>
    <mergeCell ref="P33:P35"/>
    <mergeCell ref="Q33:Q35"/>
    <mergeCell ref="R33:R35"/>
    <mergeCell ref="S33:S35"/>
    <mergeCell ref="O30:O32"/>
    <mergeCell ref="P30:P32"/>
    <mergeCell ref="Q30:Q32"/>
    <mergeCell ref="R30:R32"/>
    <mergeCell ref="S30:S32"/>
    <mergeCell ref="T30:T35"/>
    <mergeCell ref="A30:A35"/>
    <mergeCell ref="B30:B35"/>
    <mergeCell ref="C30:C35"/>
    <mergeCell ref="D30:D35"/>
    <mergeCell ref="E30:E35"/>
    <mergeCell ref="F30:F35"/>
    <mergeCell ref="U24:U29"/>
    <mergeCell ref="O27:O29"/>
    <mergeCell ref="P27:P29"/>
    <mergeCell ref="Q27:Q29"/>
    <mergeCell ref="R27:R29"/>
    <mergeCell ref="S27:S29"/>
    <mergeCell ref="O24:O26"/>
    <mergeCell ref="P24:P26"/>
    <mergeCell ref="Q24:Q26"/>
    <mergeCell ref="R24:R26"/>
    <mergeCell ref="S24:S26"/>
    <mergeCell ref="T24:T29"/>
    <mergeCell ref="A24:A29"/>
    <mergeCell ref="B24:B29"/>
    <mergeCell ref="C24:C29"/>
    <mergeCell ref="D24:D29"/>
    <mergeCell ref="E24:E29"/>
    <mergeCell ref="F24:F29"/>
    <mergeCell ref="U18:U23"/>
    <mergeCell ref="O21:O23"/>
    <mergeCell ref="P21:P23"/>
    <mergeCell ref="Q21:Q23"/>
    <mergeCell ref="R21:R23"/>
    <mergeCell ref="S21:S23"/>
    <mergeCell ref="O18:O20"/>
    <mergeCell ref="P18:P20"/>
    <mergeCell ref="Q18:Q20"/>
    <mergeCell ref="R18:R20"/>
    <mergeCell ref="S18:S20"/>
    <mergeCell ref="T18:T23"/>
    <mergeCell ref="A18:A23"/>
    <mergeCell ref="B18:B23"/>
    <mergeCell ref="C18:C23"/>
    <mergeCell ref="D18:D23"/>
    <mergeCell ref="E18:E23"/>
    <mergeCell ref="F18:F23"/>
    <mergeCell ref="Q12:Q14"/>
    <mergeCell ref="R12:R14"/>
    <mergeCell ref="S12:S14"/>
    <mergeCell ref="A12:A17"/>
    <mergeCell ref="B12:B17"/>
    <mergeCell ref="C12:C17"/>
    <mergeCell ref="D12:D17"/>
    <mergeCell ref="E12:E17"/>
    <mergeCell ref="F12:F17"/>
    <mergeCell ref="T12:T17"/>
    <mergeCell ref="U12:U17"/>
    <mergeCell ref="O15:O17"/>
    <mergeCell ref="P15:P17"/>
    <mergeCell ref="Q15:Q17"/>
    <mergeCell ref="R15:R17"/>
    <mergeCell ref="S15:S17"/>
    <mergeCell ref="T8:T11"/>
    <mergeCell ref="U8:U11"/>
    <mergeCell ref="O12:O14"/>
    <mergeCell ref="P12:P14"/>
    <mergeCell ref="O8:O11"/>
    <mergeCell ref="P8:P11"/>
    <mergeCell ref="Q8:Q11"/>
    <mergeCell ref="R8:R11"/>
    <mergeCell ref="S8:S11"/>
    <mergeCell ref="T2:T4"/>
    <mergeCell ref="H3:H4"/>
    <mergeCell ref="I3:K3"/>
    <mergeCell ref="Q3:S3"/>
    <mergeCell ref="C7:T7"/>
    <mergeCell ref="N2:N4"/>
    <mergeCell ref="O2:S2"/>
    <mergeCell ref="A8:A11"/>
    <mergeCell ref="B8:B11"/>
    <mergeCell ref="C8:C11"/>
    <mergeCell ref="D8:D11"/>
    <mergeCell ref="E8:E11"/>
    <mergeCell ref="G2:G4"/>
    <mergeCell ref="H2:K2"/>
    <mergeCell ref="L2:L4"/>
    <mergeCell ref="M2:M4"/>
    <mergeCell ref="A2:A4"/>
    <mergeCell ref="B2:B4"/>
    <mergeCell ref="C2:C4"/>
    <mergeCell ref="D2:D4"/>
    <mergeCell ref="E2:E4"/>
    <mergeCell ref="F2:F4"/>
    <mergeCell ref="F8:F11"/>
  </mergeCells>
  <pageMargins left="0.7" right="0.7" top="0.75" bottom="0.75" header="0.3" footer="0.3"/>
  <pageSetup orientation="portrait" horizontalDpi="30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13DB-B970-418C-B209-C80E8EE449DE}">
  <dimension ref="A2:U274"/>
  <sheetViews>
    <sheetView workbookViewId="0">
      <selection activeCell="T19" sqref="T19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54" style="15" customWidth="1"/>
    <col min="5" max="5" width="4.42578125" style="138" customWidth="1"/>
    <col min="6" max="6" width="21.140625" style="15" customWidth="1"/>
    <col min="7" max="7" width="7.85546875" style="26" customWidth="1" outlineLevel="1"/>
    <col min="8" max="8" width="10.140625" style="20" customWidth="1" outlineLevel="1"/>
    <col min="9" max="9" width="9.5703125" style="20" hidden="1" customWidth="1" outlineLevel="1"/>
    <col min="10" max="10" width="10.5703125" style="20" hidden="1" customWidth="1" outlineLevel="1"/>
    <col min="11" max="11" width="8.5703125" style="20" hidden="1" customWidth="1" outlineLevel="1"/>
    <col min="12" max="12" width="10.140625" style="20" customWidth="1" outlineLevel="1"/>
    <col min="13" max="13" width="10.42578125" style="20" customWidth="1" outlineLevel="1"/>
    <col min="14" max="14" width="12.42578125" style="20" customWidth="1" outlineLevel="1"/>
    <col min="15" max="15" width="30.140625" style="20" customWidth="1"/>
    <col min="16" max="16" width="9.5703125" style="20" customWidth="1"/>
    <col min="17" max="17" width="8.7109375" style="20" customWidth="1"/>
    <col min="18" max="18" width="9.28515625" style="20" customWidth="1"/>
    <col min="19" max="19" width="8.28515625" style="20" customWidth="1"/>
    <col min="20" max="20" width="17.5703125" style="205" customWidth="1"/>
    <col min="21" max="21" width="24.5703125" style="20" customWidth="1"/>
    <col min="22" max="16384" width="9.140625" style="20"/>
  </cols>
  <sheetData>
    <row r="2" spans="1:21" ht="12.75" customHeight="1" x14ac:dyDescent="0.25">
      <c r="A2" s="489" t="s">
        <v>13</v>
      </c>
      <c r="B2" s="489" t="s">
        <v>14</v>
      </c>
      <c r="C2" s="490" t="s">
        <v>15</v>
      </c>
      <c r="D2" s="397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530" t="s">
        <v>23</v>
      </c>
      <c r="O2" s="475" t="s">
        <v>24</v>
      </c>
      <c r="P2" s="475"/>
      <c r="Q2" s="475"/>
      <c r="R2" s="475"/>
      <c r="S2" s="475"/>
      <c r="T2" s="469" t="s">
        <v>25</v>
      </c>
    </row>
    <row r="3" spans="1:21" ht="15" customHeight="1" x14ac:dyDescent="0.2">
      <c r="A3" s="489"/>
      <c r="B3" s="489"/>
      <c r="C3" s="490"/>
      <c r="D3" s="457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531"/>
      <c r="O3" s="71"/>
      <c r="P3" s="67"/>
      <c r="Q3" s="475" t="s">
        <v>27</v>
      </c>
      <c r="R3" s="475"/>
      <c r="S3" s="475"/>
      <c r="T3" s="470"/>
    </row>
    <row r="4" spans="1:21" ht="81.95" customHeight="1" x14ac:dyDescent="0.2">
      <c r="A4" s="489"/>
      <c r="B4" s="489"/>
      <c r="C4" s="490"/>
      <c r="D4" s="398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53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471"/>
      <c r="U4" s="185"/>
    </row>
    <row r="5" spans="1:21" ht="14.25" x14ac:dyDescent="0.2">
      <c r="A5" s="22" t="s">
        <v>369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5"/>
      <c r="U5" s="197"/>
    </row>
    <row r="6" spans="1:21" ht="14.25" x14ac:dyDescent="0.2">
      <c r="A6" s="115" t="s">
        <v>36</v>
      </c>
      <c r="B6" s="198" t="s">
        <v>370</v>
      </c>
      <c r="C6" s="29"/>
      <c r="D6" s="29"/>
      <c r="E6" s="29"/>
      <c r="F6" s="29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  <c r="U6" s="197"/>
    </row>
    <row r="7" spans="1:21" x14ac:dyDescent="0.2">
      <c r="A7" s="27" t="s">
        <v>36</v>
      </c>
      <c r="B7" s="32" t="s">
        <v>36</v>
      </c>
      <c r="C7" s="424" t="s">
        <v>371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  <c r="U7" s="197"/>
    </row>
    <row r="8" spans="1:21" ht="25.5" x14ac:dyDescent="0.2">
      <c r="A8" s="404" t="s">
        <v>36</v>
      </c>
      <c r="B8" s="406" t="s">
        <v>36</v>
      </c>
      <c r="C8" s="685" t="s">
        <v>36</v>
      </c>
      <c r="D8" s="521" t="s">
        <v>372</v>
      </c>
      <c r="E8" s="503" t="s">
        <v>50</v>
      </c>
      <c r="F8" s="688">
        <v>175012028</v>
      </c>
      <c r="G8" s="199" t="s">
        <v>40</v>
      </c>
      <c r="H8" s="119">
        <v>277</v>
      </c>
      <c r="I8" s="119"/>
      <c r="J8" s="119"/>
      <c r="K8" s="7"/>
      <c r="L8" s="7">
        <f>+(H8*0.05)+H8</f>
        <v>290.85000000000002</v>
      </c>
      <c r="M8" s="7">
        <f>L8*1.05</f>
        <v>305.39250000000004</v>
      </c>
      <c r="N8" s="119">
        <f>H8+L8+M8</f>
        <v>873.24250000000006</v>
      </c>
      <c r="O8" s="186" t="s">
        <v>373</v>
      </c>
      <c r="P8" s="128" t="s">
        <v>45</v>
      </c>
      <c r="Q8" s="128">
        <v>65</v>
      </c>
      <c r="R8" s="128">
        <v>65</v>
      </c>
      <c r="S8" s="128">
        <v>65</v>
      </c>
      <c r="T8" s="691" t="s">
        <v>374</v>
      </c>
      <c r="U8" s="197"/>
    </row>
    <row r="9" spans="1:21" ht="12.75" x14ac:dyDescent="0.2">
      <c r="A9" s="447"/>
      <c r="B9" s="448"/>
      <c r="C9" s="686"/>
      <c r="D9" s="522"/>
      <c r="E9" s="508"/>
      <c r="F9" s="689"/>
      <c r="G9" s="199" t="s">
        <v>95</v>
      </c>
      <c r="H9" s="119">
        <v>970.1</v>
      </c>
      <c r="I9" s="119"/>
      <c r="J9" s="119"/>
      <c r="K9" s="119"/>
      <c r="L9" s="7">
        <f>+(H9*0.05)+H9</f>
        <v>1018.605</v>
      </c>
      <c r="M9" s="7">
        <f>L9*1.05</f>
        <v>1069.5352500000001</v>
      </c>
      <c r="N9" s="119">
        <f>H9+L9+M9</f>
        <v>3058.2402499999998</v>
      </c>
      <c r="O9" s="462" t="s">
        <v>375</v>
      </c>
      <c r="P9" s="536" t="s">
        <v>62</v>
      </c>
      <c r="Q9" s="536">
        <v>300</v>
      </c>
      <c r="R9" s="536">
        <v>300</v>
      </c>
      <c r="S9" s="536">
        <v>300</v>
      </c>
      <c r="T9" s="692"/>
      <c r="U9" s="197"/>
    </row>
    <row r="10" spans="1:21" ht="12.75" x14ac:dyDescent="0.2">
      <c r="A10" s="405"/>
      <c r="B10" s="407"/>
      <c r="C10" s="687"/>
      <c r="D10" s="523"/>
      <c r="E10" s="504"/>
      <c r="F10" s="690"/>
      <c r="G10" s="200" t="s">
        <v>23</v>
      </c>
      <c r="H10" s="123">
        <f t="shared" ref="H10:N10" si="0">+SUM(H8:H9)</f>
        <v>1247.0999999999999</v>
      </c>
      <c r="I10" s="123">
        <f t="shared" si="0"/>
        <v>0</v>
      </c>
      <c r="J10" s="123">
        <f t="shared" si="0"/>
        <v>0</v>
      </c>
      <c r="K10" s="123">
        <f t="shared" si="0"/>
        <v>0</v>
      </c>
      <c r="L10" s="123">
        <f t="shared" si="0"/>
        <v>1309.4549999999999</v>
      </c>
      <c r="M10" s="123">
        <f t="shared" si="0"/>
        <v>1374.9277500000003</v>
      </c>
      <c r="N10" s="123">
        <f t="shared" si="0"/>
        <v>3931.4827500000001</v>
      </c>
      <c r="O10" s="463"/>
      <c r="P10" s="537"/>
      <c r="Q10" s="537"/>
      <c r="R10" s="537"/>
      <c r="S10" s="537"/>
      <c r="T10" s="693"/>
      <c r="U10" s="197"/>
    </row>
    <row r="11" spans="1:21" ht="14.1" customHeight="1" x14ac:dyDescent="0.2">
      <c r="A11" s="404" t="s">
        <v>36</v>
      </c>
      <c r="B11" s="406" t="s">
        <v>36</v>
      </c>
      <c r="C11" s="685" t="s">
        <v>46</v>
      </c>
      <c r="D11" s="397" t="s">
        <v>376</v>
      </c>
      <c r="E11" s="410" t="s">
        <v>46</v>
      </c>
      <c r="F11" s="397">
        <v>188718713</v>
      </c>
      <c r="G11" s="201" t="s">
        <v>95</v>
      </c>
      <c r="H11" s="119">
        <v>30.2</v>
      </c>
      <c r="I11" s="119"/>
      <c r="J11" s="119"/>
      <c r="K11" s="119"/>
      <c r="L11" s="7">
        <f>+(H11*0.05)+H11</f>
        <v>31.71</v>
      </c>
      <c r="M11" s="7">
        <f>L11*1.05</f>
        <v>33.295500000000004</v>
      </c>
      <c r="N11" s="119">
        <f>H11+L11+M11</f>
        <v>95.205500000000001</v>
      </c>
      <c r="O11" s="378" t="s">
        <v>377</v>
      </c>
      <c r="P11" s="536" t="s">
        <v>62</v>
      </c>
      <c r="Q11" s="536">
        <v>2</v>
      </c>
      <c r="R11" s="536">
        <v>2</v>
      </c>
      <c r="S11" s="536">
        <v>2</v>
      </c>
      <c r="T11" s="694" t="s">
        <v>378</v>
      </c>
      <c r="U11" s="197"/>
    </row>
    <row r="12" spans="1:21" ht="22.5" customHeight="1" x14ac:dyDescent="0.2">
      <c r="A12" s="405"/>
      <c r="B12" s="407"/>
      <c r="C12" s="687"/>
      <c r="D12" s="398"/>
      <c r="E12" s="411"/>
      <c r="F12" s="398"/>
      <c r="G12" s="200" t="s">
        <v>23</v>
      </c>
      <c r="H12" s="123">
        <f>+SUM(H11)</f>
        <v>30.2</v>
      </c>
      <c r="I12" s="123">
        <f t="shared" ref="I12:N12" si="1">+SUM(I11)</f>
        <v>0</v>
      </c>
      <c r="J12" s="123">
        <f t="shared" si="1"/>
        <v>0</v>
      </c>
      <c r="K12" s="123">
        <f t="shared" si="1"/>
        <v>0</v>
      </c>
      <c r="L12" s="123">
        <f t="shared" si="1"/>
        <v>31.71</v>
      </c>
      <c r="M12" s="123">
        <f t="shared" si="1"/>
        <v>33.295500000000004</v>
      </c>
      <c r="N12" s="123">
        <f t="shared" si="1"/>
        <v>95.205500000000001</v>
      </c>
      <c r="O12" s="379"/>
      <c r="P12" s="537"/>
      <c r="Q12" s="537"/>
      <c r="R12" s="537"/>
      <c r="S12" s="537"/>
      <c r="T12" s="694"/>
      <c r="U12" s="197"/>
    </row>
    <row r="13" spans="1:21" ht="26.1" customHeight="1" x14ac:dyDescent="0.2">
      <c r="A13" s="456" t="s">
        <v>36</v>
      </c>
      <c r="B13" s="443" t="s">
        <v>36</v>
      </c>
      <c r="C13" s="696" t="s">
        <v>169</v>
      </c>
      <c r="D13" s="607" t="s">
        <v>379</v>
      </c>
      <c r="E13" s="698" t="s">
        <v>50</v>
      </c>
      <c r="F13" s="607">
        <v>188718713</v>
      </c>
      <c r="G13" s="210" t="s">
        <v>40</v>
      </c>
      <c r="H13" s="211">
        <v>40</v>
      </c>
      <c r="I13" s="212"/>
      <c r="J13" s="212"/>
      <c r="K13" s="212"/>
      <c r="L13" s="213">
        <f>+(H13*0.05)+H13</f>
        <v>42</v>
      </c>
      <c r="M13" s="7">
        <f>L13*1.05</f>
        <v>44.1</v>
      </c>
      <c r="N13" s="211">
        <f>H13+L13+M13</f>
        <v>126.1</v>
      </c>
      <c r="O13" s="462" t="s">
        <v>380</v>
      </c>
      <c r="P13" s="679" t="s">
        <v>62</v>
      </c>
      <c r="Q13" s="679">
        <v>11</v>
      </c>
      <c r="R13" s="679">
        <v>11</v>
      </c>
      <c r="S13" s="679">
        <v>11</v>
      </c>
      <c r="T13" s="695" t="s">
        <v>381</v>
      </c>
      <c r="U13" s="197"/>
    </row>
    <row r="14" spans="1:21" ht="12.75" x14ac:dyDescent="0.2">
      <c r="A14" s="456"/>
      <c r="B14" s="443"/>
      <c r="C14" s="696"/>
      <c r="D14" s="697"/>
      <c r="E14" s="698"/>
      <c r="F14" s="697"/>
      <c r="G14" s="210"/>
      <c r="H14" s="211"/>
      <c r="I14" s="212"/>
      <c r="J14" s="212"/>
      <c r="K14" s="212"/>
      <c r="L14" s="213"/>
      <c r="M14" s="213"/>
      <c r="N14" s="211"/>
      <c r="O14" s="631"/>
      <c r="P14" s="680"/>
      <c r="Q14" s="680"/>
      <c r="R14" s="680"/>
      <c r="S14" s="680"/>
      <c r="T14" s="695"/>
      <c r="U14" s="197"/>
    </row>
    <row r="15" spans="1:21" ht="12.75" x14ac:dyDescent="0.2">
      <c r="A15" s="456"/>
      <c r="B15" s="443"/>
      <c r="C15" s="696"/>
      <c r="D15" s="608"/>
      <c r="E15" s="698"/>
      <c r="F15" s="608"/>
      <c r="G15" s="214" t="s">
        <v>23</v>
      </c>
      <c r="H15" s="212">
        <f t="shared" ref="H15:N15" si="2">+H13</f>
        <v>40</v>
      </c>
      <c r="I15" s="212">
        <f t="shared" si="2"/>
        <v>0</v>
      </c>
      <c r="J15" s="212">
        <f t="shared" si="2"/>
        <v>0</v>
      </c>
      <c r="K15" s="212">
        <f t="shared" si="2"/>
        <v>0</v>
      </c>
      <c r="L15" s="212">
        <f t="shared" si="2"/>
        <v>42</v>
      </c>
      <c r="M15" s="212">
        <f t="shared" si="2"/>
        <v>44.1</v>
      </c>
      <c r="N15" s="212">
        <f t="shared" si="2"/>
        <v>126.1</v>
      </c>
      <c r="O15" s="463"/>
      <c r="P15" s="681"/>
      <c r="Q15" s="681"/>
      <c r="R15" s="681"/>
      <c r="S15" s="681"/>
      <c r="T15" s="695"/>
      <c r="U15" s="197"/>
    </row>
    <row r="16" spans="1:21" x14ac:dyDescent="0.2">
      <c r="A16" s="27" t="s">
        <v>36</v>
      </c>
      <c r="B16" s="32" t="s">
        <v>46</v>
      </c>
      <c r="C16" s="699" t="s">
        <v>382</v>
      </c>
      <c r="D16" s="700"/>
      <c r="E16" s="700"/>
      <c r="F16" s="700"/>
      <c r="G16" s="700"/>
      <c r="H16" s="700"/>
      <c r="I16" s="700"/>
      <c r="J16" s="700"/>
      <c r="K16" s="700"/>
      <c r="L16" s="700"/>
      <c r="M16" s="700"/>
      <c r="N16" s="700"/>
      <c r="O16" s="700"/>
      <c r="P16" s="700"/>
      <c r="Q16" s="700"/>
      <c r="R16" s="700"/>
      <c r="S16" s="700"/>
      <c r="T16" s="701"/>
      <c r="U16" s="197"/>
    </row>
    <row r="17" spans="1:21" ht="12.75" x14ac:dyDescent="0.2">
      <c r="A17" s="404" t="s">
        <v>36</v>
      </c>
      <c r="B17" s="406" t="s">
        <v>46</v>
      </c>
      <c r="C17" s="685" t="s">
        <v>36</v>
      </c>
      <c r="D17" s="397" t="s">
        <v>383</v>
      </c>
      <c r="E17" s="410" t="s">
        <v>46</v>
      </c>
      <c r="F17" s="397">
        <v>188718713</v>
      </c>
      <c r="G17" s="201" t="s">
        <v>95</v>
      </c>
      <c r="H17" s="119"/>
      <c r="I17" s="119"/>
      <c r="J17" s="119"/>
      <c r="K17" s="119"/>
      <c r="L17" s="7"/>
      <c r="M17" s="7"/>
      <c r="N17" s="119">
        <f>H17+L17+M17</f>
        <v>0</v>
      </c>
      <c r="O17" s="186" t="s">
        <v>384</v>
      </c>
      <c r="P17" s="128" t="s">
        <v>62</v>
      </c>
      <c r="Q17" s="128">
        <v>10</v>
      </c>
      <c r="R17" s="128">
        <v>10</v>
      </c>
      <c r="S17" s="128">
        <v>10</v>
      </c>
      <c r="T17" s="694" t="s">
        <v>378</v>
      </c>
      <c r="U17" s="197"/>
    </row>
    <row r="18" spans="1:21" ht="26.25" customHeight="1" x14ac:dyDescent="0.2">
      <c r="A18" s="405"/>
      <c r="B18" s="407"/>
      <c r="C18" s="687"/>
      <c r="D18" s="398"/>
      <c r="E18" s="411"/>
      <c r="F18" s="398"/>
      <c r="G18" s="200" t="s">
        <v>23</v>
      </c>
      <c r="H18" s="123">
        <f>+SUM(H17)</f>
        <v>0</v>
      </c>
      <c r="I18" s="123">
        <f t="shared" ref="I18:N18" si="3">+SUM(I17)</f>
        <v>0</v>
      </c>
      <c r="J18" s="123">
        <f t="shared" si="3"/>
        <v>0</v>
      </c>
      <c r="K18" s="123">
        <f t="shared" si="3"/>
        <v>0</v>
      </c>
      <c r="L18" s="123">
        <f t="shared" si="3"/>
        <v>0</v>
      </c>
      <c r="M18" s="123">
        <f t="shared" si="3"/>
        <v>0</v>
      </c>
      <c r="N18" s="123">
        <f t="shared" si="3"/>
        <v>0</v>
      </c>
      <c r="O18" s="86" t="s">
        <v>385</v>
      </c>
      <c r="P18" s="128" t="s">
        <v>62</v>
      </c>
      <c r="Q18" s="128">
        <v>1</v>
      </c>
      <c r="R18" s="128">
        <v>1</v>
      </c>
      <c r="S18" s="128">
        <v>1</v>
      </c>
      <c r="T18" s="694"/>
      <c r="U18" s="197"/>
    </row>
    <row r="19" spans="1:21" s="182" customFormat="1" ht="14.25" customHeight="1" x14ac:dyDescent="0.2">
      <c r="A19" s="559" t="s">
        <v>236</v>
      </c>
      <c r="B19" s="560"/>
      <c r="C19" s="560"/>
      <c r="D19" s="560"/>
      <c r="E19" s="560"/>
      <c r="F19" s="560"/>
      <c r="G19" s="561"/>
      <c r="H19" s="133">
        <f t="shared" ref="H19:M19" si="4">+H10+H12+H15</f>
        <v>1317.3</v>
      </c>
      <c r="I19" s="133">
        <f t="shared" si="4"/>
        <v>0</v>
      </c>
      <c r="J19" s="133">
        <f t="shared" si="4"/>
        <v>0</v>
      </c>
      <c r="K19" s="133">
        <f t="shared" si="4"/>
        <v>0</v>
      </c>
      <c r="L19" s="133">
        <f t="shared" si="4"/>
        <v>1383.165</v>
      </c>
      <c r="M19" s="133">
        <f t="shared" si="4"/>
        <v>1452.3232500000001</v>
      </c>
      <c r="N19" s="203">
        <f>H19+L19+M19</f>
        <v>4152.7882500000005</v>
      </c>
      <c r="O19" s="203"/>
      <c r="P19" s="203"/>
      <c r="Q19" s="203"/>
      <c r="R19" s="203"/>
      <c r="S19" s="203"/>
      <c r="T19" s="195"/>
      <c r="U19" s="204"/>
    </row>
    <row r="20" spans="1:21" ht="14.25" customHeight="1" x14ac:dyDescent="0.2">
      <c r="A20" s="556">
        <v>3</v>
      </c>
      <c r="B20" s="557"/>
      <c r="C20" s="557"/>
      <c r="D20" s="557"/>
      <c r="E20" s="557"/>
      <c r="F20" s="558"/>
      <c r="G20" s="34" t="s">
        <v>40</v>
      </c>
      <c r="H20" s="8">
        <f>+H8+H15+H18</f>
        <v>317</v>
      </c>
      <c r="I20" s="8">
        <f t="shared" ref="I20:N20" si="5">+I8+I15+I18</f>
        <v>0</v>
      </c>
      <c r="J20" s="8">
        <f t="shared" si="5"/>
        <v>0</v>
      </c>
      <c r="K20" s="8">
        <f t="shared" si="5"/>
        <v>0</v>
      </c>
      <c r="L20" s="8">
        <f t="shared" si="5"/>
        <v>332.85</v>
      </c>
      <c r="M20" s="8">
        <f t="shared" si="5"/>
        <v>349.49250000000006</v>
      </c>
      <c r="N20" s="8">
        <f t="shared" si="5"/>
        <v>999.34250000000009</v>
      </c>
      <c r="O20" s="8"/>
      <c r="P20" s="8"/>
      <c r="Q20" s="8"/>
      <c r="R20" s="8"/>
      <c r="S20" s="8"/>
      <c r="T20" s="52"/>
      <c r="U20" s="197"/>
    </row>
    <row r="21" spans="1:21" ht="14.25" customHeight="1" x14ac:dyDescent="0.2">
      <c r="A21" s="556"/>
      <c r="B21" s="557"/>
      <c r="C21" s="557"/>
      <c r="D21" s="557"/>
      <c r="E21" s="557"/>
      <c r="F21" s="558"/>
      <c r="G21" s="34" t="s">
        <v>95</v>
      </c>
      <c r="H21" s="8">
        <f t="shared" ref="H21:N21" si="6">+H9+H11</f>
        <v>1000.3000000000001</v>
      </c>
      <c r="I21" s="8">
        <f t="shared" si="6"/>
        <v>0</v>
      </c>
      <c r="J21" s="8">
        <f t="shared" si="6"/>
        <v>0</v>
      </c>
      <c r="K21" s="8">
        <f t="shared" si="6"/>
        <v>0</v>
      </c>
      <c r="L21" s="8">
        <f t="shared" si="6"/>
        <v>1050.3150000000001</v>
      </c>
      <c r="M21" s="8">
        <f t="shared" si="6"/>
        <v>1102.8307500000001</v>
      </c>
      <c r="N21" s="8">
        <f t="shared" si="6"/>
        <v>3153.4457499999999</v>
      </c>
      <c r="O21" s="8"/>
      <c r="P21" s="8"/>
      <c r="Q21" s="8"/>
      <c r="R21" s="8"/>
      <c r="S21" s="8"/>
      <c r="T21" s="52"/>
      <c r="U21" s="197"/>
    </row>
    <row r="22" spans="1:21" ht="14.25" customHeight="1" x14ac:dyDescent="0.2">
      <c r="A22" s="556"/>
      <c r="B22" s="557"/>
      <c r="C22" s="557"/>
      <c r="D22" s="557"/>
      <c r="E22" s="557"/>
      <c r="F22" s="558"/>
      <c r="G22" s="34" t="s">
        <v>53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/>
      <c r="P22" s="4"/>
      <c r="Q22" s="4"/>
      <c r="R22" s="4"/>
      <c r="S22" s="4"/>
      <c r="T22" s="52"/>
      <c r="U22" s="197"/>
    </row>
    <row r="23" spans="1:21" ht="14.25" customHeight="1" x14ac:dyDescent="0.2">
      <c r="A23" s="556"/>
      <c r="B23" s="557"/>
      <c r="C23" s="557"/>
      <c r="D23" s="557"/>
      <c r="E23" s="557"/>
      <c r="F23" s="558"/>
      <c r="G23" s="34" t="s">
        <v>178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/>
      <c r="P23" s="4"/>
      <c r="Q23" s="4"/>
      <c r="R23" s="4"/>
      <c r="S23" s="4"/>
      <c r="T23" s="202"/>
      <c r="U23" s="197"/>
    </row>
    <row r="24" spans="1:21" ht="14.25" customHeight="1" x14ac:dyDescent="0.2">
      <c r="A24" s="556"/>
      <c r="B24" s="557"/>
      <c r="C24" s="557"/>
      <c r="D24" s="557"/>
      <c r="E24" s="557"/>
      <c r="F24" s="558"/>
      <c r="G24" s="34" t="s">
        <v>179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/>
      <c r="P24" s="4"/>
      <c r="Q24" s="4"/>
      <c r="R24" s="4"/>
      <c r="S24" s="4"/>
      <c r="T24" s="202"/>
      <c r="U24" s="197"/>
    </row>
    <row r="25" spans="1:21" ht="14.25" customHeight="1" x14ac:dyDescent="0.2">
      <c r="A25" s="556"/>
      <c r="B25" s="557"/>
      <c r="C25" s="557"/>
      <c r="D25" s="557"/>
      <c r="E25" s="557"/>
      <c r="F25" s="558"/>
      <c r="G25" s="34" t="s">
        <v>238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/>
      <c r="P25" s="4"/>
      <c r="Q25" s="4"/>
      <c r="R25" s="4"/>
      <c r="S25" s="4"/>
      <c r="T25" s="202"/>
      <c r="U25" s="197"/>
    </row>
    <row r="26" spans="1:21" ht="14.25" customHeight="1" x14ac:dyDescent="0.2">
      <c r="A26" s="556"/>
      <c r="B26" s="557"/>
      <c r="C26" s="557"/>
      <c r="D26" s="557"/>
      <c r="E26" s="557"/>
      <c r="F26" s="558"/>
      <c r="G26" s="34" t="s">
        <v>141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/>
      <c r="P26" s="4"/>
      <c r="Q26" s="4"/>
      <c r="R26" s="4"/>
      <c r="S26" s="4"/>
      <c r="T26" s="202"/>
      <c r="U26" s="197"/>
    </row>
    <row r="27" spans="1:21" ht="14.25" customHeight="1" x14ac:dyDescent="0.2">
      <c r="A27" s="556"/>
      <c r="B27" s="557"/>
      <c r="C27" s="557"/>
      <c r="D27" s="557"/>
      <c r="E27" s="557"/>
      <c r="F27" s="558"/>
      <c r="G27" s="53" t="s">
        <v>144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/>
      <c r="P27" s="4"/>
      <c r="Q27" s="4"/>
      <c r="R27" s="4"/>
      <c r="S27" s="4"/>
      <c r="T27" s="202"/>
      <c r="U27" s="197"/>
    </row>
    <row r="28" spans="1:21" ht="14.25" customHeight="1" x14ac:dyDescent="0.2">
      <c r="U28" s="13"/>
    </row>
    <row r="29" spans="1:21" ht="14.25" customHeight="1" x14ac:dyDescent="0.2">
      <c r="U29" s="13"/>
    </row>
    <row r="30" spans="1:21" ht="14.25" customHeight="1" x14ac:dyDescent="0.2"/>
    <row r="31" spans="1:21" ht="14.25" customHeight="1" x14ac:dyDescent="0.2"/>
    <row r="32" spans="1:21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</sheetData>
  <mergeCells count="70">
    <mergeCell ref="A25:F25"/>
    <mergeCell ref="A26:F26"/>
    <mergeCell ref="A27:F27"/>
    <mergeCell ref="A19:G19"/>
    <mergeCell ref="A20:F20"/>
    <mergeCell ref="A21:F21"/>
    <mergeCell ref="A22:F22"/>
    <mergeCell ref="A23:F23"/>
    <mergeCell ref="A24:F24"/>
    <mergeCell ref="C16:T16"/>
    <mergeCell ref="A17:A18"/>
    <mergeCell ref="B17:B18"/>
    <mergeCell ref="C17:C18"/>
    <mergeCell ref="D17:D18"/>
    <mergeCell ref="E17:E18"/>
    <mergeCell ref="F17:F18"/>
    <mergeCell ref="T17:T18"/>
    <mergeCell ref="T13:T15"/>
    <mergeCell ref="A13:A15"/>
    <mergeCell ref="B13:B15"/>
    <mergeCell ref="C13:C15"/>
    <mergeCell ref="D13:D15"/>
    <mergeCell ref="E13:E15"/>
    <mergeCell ref="F13:F15"/>
    <mergeCell ref="O13:O15"/>
    <mergeCell ref="P13:P15"/>
    <mergeCell ref="Q13:Q15"/>
    <mergeCell ref="R13:R15"/>
    <mergeCell ref="S13:S15"/>
    <mergeCell ref="T11:T12"/>
    <mergeCell ref="A11:A12"/>
    <mergeCell ref="B11:B12"/>
    <mergeCell ref="C11:C12"/>
    <mergeCell ref="D11:D12"/>
    <mergeCell ref="E11:E12"/>
    <mergeCell ref="F11:F12"/>
    <mergeCell ref="O11:O12"/>
    <mergeCell ref="P11:P12"/>
    <mergeCell ref="Q11:Q12"/>
    <mergeCell ref="R11:R12"/>
    <mergeCell ref="S11:S12"/>
    <mergeCell ref="F8:F10"/>
    <mergeCell ref="T8:T10"/>
    <mergeCell ref="O9:O10"/>
    <mergeCell ref="P9:P10"/>
    <mergeCell ref="Q9:Q10"/>
    <mergeCell ref="R9:R10"/>
    <mergeCell ref="S9:S10"/>
    <mergeCell ref="T2:T4"/>
    <mergeCell ref="H3:H4"/>
    <mergeCell ref="I3:K3"/>
    <mergeCell ref="Q3:S3"/>
    <mergeCell ref="C7:T7"/>
    <mergeCell ref="G2:G4"/>
    <mergeCell ref="H2:K2"/>
    <mergeCell ref="L2:L4"/>
    <mergeCell ref="M2:M4"/>
    <mergeCell ref="N2:N4"/>
    <mergeCell ref="O2:S2"/>
    <mergeCell ref="F2:F4"/>
    <mergeCell ref="A8:A10"/>
    <mergeCell ref="B8:B10"/>
    <mergeCell ref="C8:C10"/>
    <mergeCell ref="D8:D10"/>
    <mergeCell ref="E8:E10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4A77-AD08-431E-A43A-E6BE7DC69E57}">
  <dimension ref="A1:U263"/>
  <sheetViews>
    <sheetView topLeftCell="A4" workbookViewId="0">
      <selection activeCell="H35" sqref="H35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54" style="15" customWidth="1"/>
    <col min="5" max="5" width="4.42578125" style="138" customWidth="1"/>
    <col min="6" max="6" width="16.42578125" style="15" customWidth="1"/>
    <col min="7" max="7" width="7" style="26" customWidth="1" outlineLevel="1"/>
    <col min="8" max="8" width="11.42578125" style="20" customWidth="1" outlineLevel="1"/>
    <col min="9" max="9" width="11" style="20" hidden="1" customWidth="1" outlineLevel="1"/>
    <col min="10" max="10" width="9.5703125" style="20" hidden="1" customWidth="1" outlineLevel="1"/>
    <col min="11" max="11" width="8.5703125" style="20" hidden="1" customWidth="1" outlineLevel="1"/>
    <col min="12" max="12" width="10" style="20" customWidth="1" outlineLevel="1"/>
    <col min="13" max="13" width="9.5703125" style="20" customWidth="1" outlineLevel="1"/>
    <col min="14" max="14" width="12.42578125" style="215" customWidth="1" outlineLevel="1"/>
    <col min="15" max="15" width="35.85546875" style="215" customWidth="1"/>
    <col min="16" max="16" width="8.85546875" style="215" customWidth="1"/>
    <col min="17" max="17" width="6.42578125" style="215" customWidth="1"/>
    <col min="18" max="18" width="7.5703125" style="215" customWidth="1"/>
    <col min="19" max="19" width="7.140625" style="215" customWidth="1"/>
    <col min="20" max="20" width="17.5703125" style="205" customWidth="1"/>
    <col min="21" max="21" width="26.85546875" style="20" customWidth="1"/>
    <col min="22" max="16384" width="9.140625" style="20"/>
  </cols>
  <sheetData>
    <row r="1" spans="1:21" ht="7.5" customHeight="1" x14ac:dyDescent="0.2"/>
    <row r="2" spans="1:21" ht="12.75" customHeight="1" x14ac:dyDescent="0.25">
      <c r="A2" s="489" t="s">
        <v>13</v>
      </c>
      <c r="B2" s="489" t="s">
        <v>14</v>
      </c>
      <c r="C2" s="490" t="s">
        <v>15</v>
      </c>
      <c r="D2" s="397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702" t="s">
        <v>23</v>
      </c>
      <c r="O2" s="475" t="s">
        <v>24</v>
      </c>
      <c r="P2" s="475"/>
      <c r="Q2" s="475"/>
      <c r="R2" s="475"/>
      <c r="S2" s="475"/>
      <c r="T2" s="705" t="s">
        <v>25</v>
      </c>
    </row>
    <row r="3" spans="1:21" ht="15" customHeight="1" x14ac:dyDescent="0.2">
      <c r="A3" s="489"/>
      <c r="B3" s="489"/>
      <c r="C3" s="490"/>
      <c r="D3" s="457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703"/>
      <c r="O3" s="71"/>
      <c r="P3" s="67"/>
      <c r="Q3" s="475" t="s">
        <v>27</v>
      </c>
      <c r="R3" s="475"/>
      <c r="S3" s="475"/>
      <c r="T3" s="706"/>
    </row>
    <row r="4" spans="1:21" ht="104.25" customHeight="1" x14ac:dyDescent="0.2">
      <c r="A4" s="489"/>
      <c r="B4" s="489"/>
      <c r="C4" s="490"/>
      <c r="D4" s="398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704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707"/>
      <c r="U4" s="185"/>
    </row>
    <row r="5" spans="1:21" ht="14.25" x14ac:dyDescent="0.2">
      <c r="A5" s="216" t="s">
        <v>386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8"/>
    </row>
    <row r="6" spans="1:21" ht="14.25" customHeight="1" x14ac:dyDescent="0.2">
      <c r="A6" s="115" t="s">
        <v>36</v>
      </c>
      <c r="B6" s="28" t="s">
        <v>387</v>
      </c>
      <c r="C6" s="29"/>
      <c r="D6" s="29"/>
      <c r="E6" s="29"/>
      <c r="F6" s="29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</row>
    <row r="7" spans="1:21" ht="14.25" customHeight="1" x14ac:dyDescent="0.2">
      <c r="A7" s="27" t="s">
        <v>36</v>
      </c>
      <c r="B7" s="32" t="s">
        <v>36</v>
      </c>
      <c r="C7" s="424" t="s">
        <v>388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</row>
    <row r="8" spans="1:21" ht="14.25" customHeight="1" x14ac:dyDescent="0.2">
      <c r="A8" s="27" t="s">
        <v>36</v>
      </c>
      <c r="B8" s="32" t="s">
        <v>46</v>
      </c>
      <c r="C8" s="424" t="s">
        <v>389</v>
      </c>
      <c r="D8" s="425"/>
      <c r="E8" s="425"/>
      <c r="F8" s="425"/>
      <c r="G8" s="425"/>
      <c r="H8" s="425"/>
      <c r="I8" s="425"/>
      <c r="J8" s="425"/>
      <c r="K8" s="425"/>
      <c r="L8" s="425"/>
      <c r="M8" s="425"/>
      <c r="N8" s="425"/>
      <c r="O8" s="425"/>
      <c r="P8" s="425"/>
      <c r="Q8" s="425"/>
      <c r="R8" s="425"/>
      <c r="S8" s="425"/>
      <c r="T8" s="426"/>
      <c r="U8" s="189"/>
    </row>
    <row r="9" spans="1:21" ht="14.25" customHeight="1" x14ac:dyDescent="0.2">
      <c r="A9" s="404" t="s">
        <v>36</v>
      </c>
      <c r="B9" s="406" t="s">
        <v>46</v>
      </c>
      <c r="C9" s="408" t="s">
        <v>36</v>
      </c>
      <c r="D9" s="397" t="s">
        <v>390</v>
      </c>
      <c r="E9" s="544" t="s">
        <v>55</v>
      </c>
      <c r="F9" s="397">
        <v>188718713</v>
      </c>
      <c r="G9" s="219" t="s">
        <v>95</v>
      </c>
      <c r="H9" s="7">
        <v>121.7</v>
      </c>
      <c r="I9" s="7"/>
      <c r="J9" s="7"/>
      <c r="K9" s="7"/>
      <c r="L9" s="7">
        <f>H9*1.05</f>
        <v>127.78500000000001</v>
      </c>
      <c r="M9" s="7">
        <f>L9*1.05</f>
        <v>134.17425000000003</v>
      </c>
      <c r="N9" s="220">
        <f>+H9+L9+M9</f>
        <v>383.65925000000004</v>
      </c>
      <c r="O9" s="86" t="s">
        <v>391</v>
      </c>
      <c r="P9" s="82" t="s">
        <v>45</v>
      </c>
      <c r="Q9" s="82">
        <v>40</v>
      </c>
      <c r="R9" s="82">
        <v>40</v>
      </c>
      <c r="S9" s="82">
        <v>40</v>
      </c>
      <c r="T9" s="401" t="s">
        <v>392</v>
      </c>
      <c r="U9" s="627"/>
    </row>
    <row r="10" spans="1:21" ht="14.25" customHeight="1" x14ac:dyDescent="0.2">
      <c r="A10" s="447"/>
      <c r="B10" s="448"/>
      <c r="C10" s="427"/>
      <c r="D10" s="457"/>
      <c r="E10" s="591"/>
      <c r="F10" s="457"/>
      <c r="G10" s="219" t="s">
        <v>40</v>
      </c>
      <c r="H10" s="7">
        <v>15</v>
      </c>
      <c r="I10" s="7"/>
      <c r="J10" s="7"/>
      <c r="K10" s="7"/>
      <c r="L10" s="7">
        <f>H10*1.05</f>
        <v>15.75</v>
      </c>
      <c r="M10" s="7">
        <f>L10*1.05</f>
        <v>16.537500000000001</v>
      </c>
      <c r="N10" s="220">
        <f>+H10+L10+M10</f>
        <v>47.287500000000001</v>
      </c>
      <c r="O10" s="86"/>
      <c r="P10" s="83"/>
      <c r="Q10" s="83"/>
      <c r="R10" s="83"/>
      <c r="S10" s="83"/>
      <c r="T10" s="431"/>
      <c r="U10" s="627"/>
    </row>
    <row r="11" spans="1:21" ht="25.5" x14ac:dyDescent="0.2">
      <c r="A11" s="405"/>
      <c r="B11" s="407"/>
      <c r="C11" s="409"/>
      <c r="D11" s="398"/>
      <c r="E11" s="545"/>
      <c r="F11" s="398"/>
      <c r="G11" s="221" t="s">
        <v>23</v>
      </c>
      <c r="H11" s="8">
        <f>+SUM(H9:H10)</f>
        <v>136.69999999999999</v>
      </c>
      <c r="I11" s="8">
        <f t="shared" ref="I11:M11" si="0">+SUM(I9:I9)</f>
        <v>0</v>
      </c>
      <c r="J11" s="8">
        <f t="shared" si="0"/>
        <v>0</v>
      </c>
      <c r="K11" s="8">
        <f t="shared" si="0"/>
        <v>0</v>
      </c>
      <c r="L11" s="8">
        <f t="shared" si="0"/>
        <v>127.78500000000001</v>
      </c>
      <c r="M11" s="8">
        <f t="shared" si="0"/>
        <v>134.17425000000003</v>
      </c>
      <c r="N11" s="9">
        <f>+H11+L11+M11</f>
        <v>398.65925000000004</v>
      </c>
      <c r="O11" s="86" t="s">
        <v>393</v>
      </c>
      <c r="P11" s="83" t="s">
        <v>45</v>
      </c>
      <c r="Q11" s="83">
        <v>10</v>
      </c>
      <c r="R11" s="83">
        <v>10</v>
      </c>
      <c r="S11" s="83">
        <v>10</v>
      </c>
      <c r="T11" s="402"/>
      <c r="U11" s="627"/>
    </row>
    <row r="12" spans="1:21" ht="14.25" customHeight="1" x14ac:dyDescent="0.2">
      <c r="A12" s="27" t="s">
        <v>36</v>
      </c>
      <c r="B12" s="32" t="s">
        <v>50</v>
      </c>
      <c r="C12" s="424" t="s">
        <v>394</v>
      </c>
      <c r="D12" s="425"/>
      <c r="E12" s="425"/>
      <c r="F12" s="425"/>
      <c r="G12" s="425"/>
      <c r="H12" s="425"/>
      <c r="I12" s="425"/>
      <c r="J12" s="425"/>
      <c r="K12" s="425"/>
      <c r="L12" s="425"/>
      <c r="M12" s="425"/>
      <c r="N12" s="425"/>
      <c r="O12" s="425"/>
      <c r="P12" s="425"/>
      <c r="Q12" s="425"/>
      <c r="R12" s="425"/>
      <c r="S12" s="425"/>
      <c r="T12" s="426"/>
      <c r="U12" s="222"/>
    </row>
    <row r="13" spans="1:21" ht="25.5" x14ac:dyDescent="0.2">
      <c r="A13" s="708" t="s">
        <v>36</v>
      </c>
      <c r="B13" s="710" t="s">
        <v>50</v>
      </c>
      <c r="C13" s="712" t="s">
        <v>36</v>
      </c>
      <c r="D13" s="521" t="s">
        <v>395</v>
      </c>
      <c r="E13" s="544" t="s">
        <v>55</v>
      </c>
      <c r="F13" s="397">
        <v>188718713</v>
      </c>
      <c r="G13" s="219" t="s">
        <v>40</v>
      </c>
      <c r="H13" s="7"/>
      <c r="I13" s="7"/>
      <c r="J13" s="7"/>
      <c r="K13" s="7"/>
      <c r="L13" s="7"/>
      <c r="M13" s="7"/>
      <c r="N13" s="220"/>
      <c r="O13" s="86" t="s">
        <v>396</v>
      </c>
      <c r="P13" s="82" t="s">
        <v>397</v>
      </c>
      <c r="Q13" s="82" t="s">
        <v>398</v>
      </c>
      <c r="R13" s="82">
        <v>0</v>
      </c>
      <c r="S13" s="82">
        <v>0</v>
      </c>
      <c r="T13" s="401" t="s">
        <v>138</v>
      </c>
      <c r="U13" s="222"/>
    </row>
    <row r="14" spans="1:21" ht="14.25" x14ac:dyDescent="0.2">
      <c r="A14" s="709"/>
      <c r="B14" s="711"/>
      <c r="C14" s="713"/>
      <c r="D14" s="523"/>
      <c r="E14" s="545"/>
      <c r="F14" s="398"/>
      <c r="G14" s="221" t="s">
        <v>23</v>
      </c>
      <c r="H14" s="8">
        <f t="shared" ref="H14:M14" si="1">+SUM(H13:H13)</f>
        <v>0</v>
      </c>
      <c r="I14" s="8">
        <f t="shared" si="1"/>
        <v>0</v>
      </c>
      <c r="J14" s="8">
        <f t="shared" si="1"/>
        <v>0</v>
      </c>
      <c r="K14" s="8">
        <f t="shared" si="1"/>
        <v>0</v>
      </c>
      <c r="L14" s="8">
        <f t="shared" si="1"/>
        <v>0</v>
      </c>
      <c r="M14" s="8">
        <f t="shared" si="1"/>
        <v>0</v>
      </c>
      <c r="N14" s="220">
        <f>+H14+L14+M14</f>
        <v>0</v>
      </c>
      <c r="O14" s="86" t="s">
        <v>399</v>
      </c>
      <c r="P14" s="83" t="s">
        <v>65</v>
      </c>
      <c r="Q14" s="83">
        <v>100</v>
      </c>
      <c r="R14" s="83">
        <v>0</v>
      </c>
      <c r="S14" s="83">
        <v>0</v>
      </c>
      <c r="T14" s="402"/>
      <c r="U14" s="222"/>
    </row>
    <row r="15" spans="1:21" ht="25.5" x14ac:dyDescent="0.2">
      <c r="A15" s="708" t="s">
        <v>36</v>
      </c>
      <c r="B15" s="710" t="s">
        <v>50</v>
      </c>
      <c r="C15" s="712" t="s">
        <v>46</v>
      </c>
      <c r="D15" s="521" t="s">
        <v>400</v>
      </c>
      <c r="E15" s="544" t="s">
        <v>55</v>
      </c>
      <c r="F15" s="397">
        <v>188718713</v>
      </c>
      <c r="G15" s="219" t="s">
        <v>40</v>
      </c>
      <c r="H15" s="7"/>
      <c r="I15" s="7"/>
      <c r="J15" s="7"/>
      <c r="K15" s="7"/>
      <c r="L15" s="7"/>
      <c r="M15" s="7"/>
      <c r="N15" s="220"/>
      <c r="O15" s="86" t="s">
        <v>401</v>
      </c>
      <c r="P15" s="82" t="s">
        <v>62</v>
      </c>
      <c r="Q15" s="82">
        <v>1</v>
      </c>
      <c r="R15" s="82">
        <v>1</v>
      </c>
      <c r="S15" s="82">
        <v>1</v>
      </c>
      <c r="T15" s="401" t="s">
        <v>138</v>
      </c>
      <c r="U15" s="222"/>
    </row>
    <row r="16" spans="1:21" ht="25.5" x14ac:dyDescent="0.2">
      <c r="A16" s="709"/>
      <c r="B16" s="711"/>
      <c r="C16" s="713"/>
      <c r="D16" s="523"/>
      <c r="E16" s="545"/>
      <c r="F16" s="398"/>
      <c r="G16" s="221" t="s">
        <v>23</v>
      </c>
      <c r="H16" s="8">
        <f t="shared" ref="H16:M16" si="2">+SUM(H15:H15)</f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 t="shared" si="2"/>
        <v>0</v>
      </c>
      <c r="M16" s="8">
        <f t="shared" si="2"/>
        <v>0</v>
      </c>
      <c r="N16" s="220">
        <f>+H16+L16+M16</f>
        <v>0</v>
      </c>
      <c r="O16" s="86" t="s">
        <v>402</v>
      </c>
      <c r="P16" s="83" t="s">
        <v>62</v>
      </c>
      <c r="Q16" s="83">
        <v>2</v>
      </c>
      <c r="R16" s="83">
        <v>2</v>
      </c>
      <c r="S16" s="83">
        <v>2</v>
      </c>
      <c r="T16" s="402"/>
      <c r="U16" s="222"/>
    </row>
    <row r="17" spans="1:21" ht="14.25" customHeight="1" x14ac:dyDescent="0.2">
      <c r="A17" s="27" t="s">
        <v>36</v>
      </c>
      <c r="B17" s="32" t="s">
        <v>55</v>
      </c>
      <c r="C17" s="424" t="s">
        <v>403</v>
      </c>
      <c r="D17" s="425"/>
      <c r="E17" s="425"/>
      <c r="F17" s="425"/>
      <c r="G17" s="425"/>
      <c r="H17" s="425"/>
      <c r="I17" s="425"/>
      <c r="J17" s="425"/>
      <c r="K17" s="425"/>
      <c r="L17" s="425"/>
      <c r="M17" s="425"/>
      <c r="N17" s="425"/>
      <c r="O17" s="425"/>
      <c r="P17" s="425"/>
      <c r="Q17" s="425"/>
      <c r="R17" s="425"/>
      <c r="S17" s="425"/>
      <c r="T17" s="426"/>
      <c r="U17" s="223"/>
    </row>
    <row r="18" spans="1:21" ht="14.25" customHeight="1" x14ac:dyDescent="0.2">
      <c r="A18" s="404" t="s">
        <v>36</v>
      </c>
      <c r="B18" s="406"/>
      <c r="C18" s="408"/>
      <c r="D18" s="714"/>
      <c r="E18" s="544"/>
      <c r="F18" s="397"/>
      <c r="G18" s="219" t="s">
        <v>40</v>
      </c>
      <c r="H18" s="7"/>
      <c r="I18" s="7"/>
      <c r="J18" s="7"/>
      <c r="K18" s="7"/>
      <c r="L18" s="7"/>
      <c r="M18" s="7"/>
      <c r="N18" s="220">
        <f>+H18+L18+M18</f>
        <v>0</v>
      </c>
      <c r="O18" s="86"/>
      <c r="P18" s="82"/>
      <c r="Q18" s="82"/>
      <c r="R18" s="82"/>
      <c r="S18" s="82"/>
      <c r="T18" s="401"/>
      <c r="U18" s="223"/>
    </row>
    <row r="19" spans="1:21" ht="12.75" x14ac:dyDescent="0.2">
      <c r="A19" s="405"/>
      <c r="B19" s="407"/>
      <c r="C19" s="409"/>
      <c r="D19" s="715"/>
      <c r="E19" s="545"/>
      <c r="F19" s="398"/>
      <c r="G19" s="221" t="s">
        <v>23</v>
      </c>
      <c r="H19" s="8">
        <f t="shared" ref="H19:M19" si="3">+SUM(H18:H18)</f>
        <v>0</v>
      </c>
      <c r="I19" s="8">
        <f t="shared" si="3"/>
        <v>0</v>
      </c>
      <c r="J19" s="8">
        <f t="shared" si="3"/>
        <v>0</v>
      </c>
      <c r="K19" s="8">
        <f t="shared" si="3"/>
        <v>0</v>
      </c>
      <c r="L19" s="8">
        <f t="shared" si="3"/>
        <v>0</v>
      </c>
      <c r="M19" s="8">
        <f t="shared" si="3"/>
        <v>0</v>
      </c>
      <c r="N19" s="220">
        <f>+H19+L19+M19</f>
        <v>0</v>
      </c>
      <c r="O19" s="86"/>
      <c r="P19" s="83"/>
      <c r="Q19" s="83"/>
      <c r="R19" s="83"/>
      <c r="S19" s="83"/>
      <c r="T19" s="402"/>
      <c r="U19" s="223"/>
    </row>
    <row r="20" spans="1:21" ht="14.25" customHeight="1" x14ac:dyDescent="0.2">
      <c r="A20" s="115" t="s">
        <v>46</v>
      </c>
      <c r="B20" s="548" t="s">
        <v>404</v>
      </c>
      <c r="C20" s="549"/>
      <c r="D20" s="549"/>
      <c r="E20" s="549"/>
      <c r="F20" s="549"/>
      <c r="G20" s="549"/>
      <c r="H20" s="549"/>
      <c r="I20" s="549"/>
      <c r="J20" s="549"/>
      <c r="K20" s="549"/>
      <c r="L20" s="549"/>
      <c r="M20" s="549"/>
      <c r="N20" s="549"/>
      <c r="O20" s="549"/>
      <c r="P20" s="549"/>
      <c r="Q20" s="549"/>
      <c r="R20" s="549"/>
      <c r="S20" s="549"/>
      <c r="T20" s="550"/>
      <c r="U20" s="189"/>
    </row>
    <row r="21" spans="1:21" x14ac:dyDescent="0.2">
      <c r="A21" s="224" t="s">
        <v>46</v>
      </c>
      <c r="B21" s="32" t="s">
        <v>36</v>
      </c>
      <c r="C21" s="716" t="s">
        <v>405</v>
      </c>
      <c r="D21" s="425"/>
      <c r="E21" s="425"/>
      <c r="F21" s="425"/>
      <c r="G21" s="425"/>
      <c r="H21" s="425"/>
      <c r="I21" s="425"/>
      <c r="J21" s="425"/>
      <c r="K21" s="425"/>
      <c r="L21" s="425"/>
      <c r="M21" s="425"/>
      <c r="N21" s="425"/>
      <c r="O21" s="425"/>
      <c r="P21" s="425"/>
      <c r="Q21" s="425"/>
      <c r="R21" s="425"/>
      <c r="S21" s="425"/>
      <c r="T21" s="426"/>
      <c r="U21" s="225"/>
    </row>
    <row r="22" spans="1:21" ht="21" customHeight="1" x14ac:dyDescent="0.2">
      <c r="A22" s="404" t="s">
        <v>46</v>
      </c>
      <c r="B22" s="406" t="s">
        <v>36</v>
      </c>
      <c r="C22" s="408" t="s">
        <v>66</v>
      </c>
      <c r="D22" s="607" t="s">
        <v>406</v>
      </c>
      <c r="E22" s="544" t="s">
        <v>66</v>
      </c>
      <c r="F22" s="397">
        <v>188718713</v>
      </c>
      <c r="G22" s="33" t="s">
        <v>40</v>
      </c>
      <c r="H22" s="7">
        <v>73</v>
      </c>
      <c r="I22" s="7"/>
      <c r="J22" s="7"/>
      <c r="K22" s="7"/>
      <c r="L22" s="7">
        <f>H22*1.05</f>
        <v>76.650000000000006</v>
      </c>
      <c r="M22" s="7">
        <f>L22*1.05</f>
        <v>80.482500000000016</v>
      </c>
      <c r="N22" s="220">
        <f>H22+L22+M22</f>
        <v>230.13250000000002</v>
      </c>
      <c r="O22" s="186" t="s">
        <v>407</v>
      </c>
      <c r="P22" s="82" t="s">
        <v>62</v>
      </c>
      <c r="Q22" s="82">
        <v>309</v>
      </c>
      <c r="R22" s="82">
        <v>309</v>
      </c>
      <c r="S22" s="82">
        <v>309</v>
      </c>
      <c r="T22" s="401" t="s">
        <v>138</v>
      </c>
      <c r="U22" s="627"/>
    </row>
    <row r="23" spans="1:21" ht="24.75" customHeight="1" x14ac:dyDescent="0.2">
      <c r="A23" s="405"/>
      <c r="B23" s="407"/>
      <c r="C23" s="409"/>
      <c r="D23" s="608"/>
      <c r="E23" s="545"/>
      <c r="F23" s="398"/>
      <c r="G23" s="34" t="s">
        <v>23</v>
      </c>
      <c r="H23" s="8">
        <f t="shared" ref="H23:M23" si="4">+SUM(H22:H22)</f>
        <v>73</v>
      </c>
      <c r="I23" s="8">
        <f t="shared" si="4"/>
        <v>0</v>
      </c>
      <c r="J23" s="8">
        <f t="shared" si="4"/>
        <v>0</v>
      </c>
      <c r="K23" s="8">
        <f t="shared" si="4"/>
        <v>0</v>
      </c>
      <c r="L23" s="8">
        <f t="shared" si="4"/>
        <v>76.650000000000006</v>
      </c>
      <c r="M23" s="8">
        <f t="shared" si="4"/>
        <v>80.482500000000016</v>
      </c>
      <c r="N23" s="9">
        <f>+H23+L23+M23</f>
        <v>230.13250000000002</v>
      </c>
      <c r="O23" s="186" t="s">
        <v>408</v>
      </c>
      <c r="P23" s="82" t="s">
        <v>62</v>
      </c>
      <c r="Q23" s="82">
        <v>0</v>
      </c>
      <c r="R23" s="82">
        <v>0</v>
      </c>
      <c r="S23" s="82">
        <v>0</v>
      </c>
      <c r="T23" s="402"/>
      <c r="U23" s="627"/>
    </row>
    <row r="24" spans="1:21" ht="15" customHeight="1" x14ac:dyDescent="0.2">
      <c r="A24" s="224" t="s">
        <v>46</v>
      </c>
      <c r="B24" s="32" t="s">
        <v>46</v>
      </c>
      <c r="C24" s="699" t="s">
        <v>409</v>
      </c>
      <c r="D24" s="700"/>
      <c r="E24" s="700"/>
      <c r="F24" s="700"/>
      <c r="G24" s="700"/>
      <c r="H24" s="700"/>
      <c r="I24" s="700"/>
      <c r="J24" s="700"/>
      <c r="K24" s="700"/>
      <c r="L24" s="700"/>
      <c r="M24" s="700"/>
      <c r="N24" s="700"/>
      <c r="O24" s="700"/>
      <c r="P24" s="700"/>
      <c r="Q24" s="700"/>
      <c r="R24" s="700"/>
      <c r="S24" s="700"/>
      <c r="T24" s="701"/>
      <c r="U24" s="225"/>
    </row>
    <row r="25" spans="1:21" ht="25.5" x14ac:dyDescent="0.2">
      <c r="A25" s="708" t="s">
        <v>46</v>
      </c>
      <c r="B25" s="710" t="s">
        <v>46</v>
      </c>
      <c r="C25" s="712" t="s">
        <v>36</v>
      </c>
      <c r="D25" s="521" t="s">
        <v>410</v>
      </c>
      <c r="E25" s="544" t="s">
        <v>66</v>
      </c>
      <c r="F25" s="397">
        <v>188718713</v>
      </c>
      <c r="G25" s="33" t="s">
        <v>40</v>
      </c>
      <c r="H25" s="7"/>
      <c r="I25" s="7"/>
      <c r="J25" s="7"/>
      <c r="K25" s="7"/>
      <c r="L25" s="226">
        <f>+(H25*0.05)+H25</f>
        <v>0</v>
      </c>
      <c r="M25" s="226">
        <f>+H25*0.1+H25</f>
        <v>0</v>
      </c>
      <c r="N25" s="220">
        <f>H25+L25+M25</f>
        <v>0</v>
      </c>
      <c r="O25" s="86" t="s">
        <v>411</v>
      </c>
      <c r="P25" s="82" t="s">
        <v>62</v>
      </c>
      <c r="Q25" s="82">
        <v>2</v>
      </c>
      <c r="R25" s="82">
        <v>2</v>
      </c>
      <c r="S25" s="82">
        <v>2</v>
      </c>
      <c r="T25" s="401" t="s">
        <v>412</v>
      </c>
      <c r="U25" s="627"/>
    </row>
    <row r="26" spans="1:21" ht="24.6" customHeight="1" x14ac:dyDescent="0.2">
      <c r="A26" s="709"/>
      <c r="B26" s="711"/>
      <c r="C26" s="713"/>
      <c r="D26" s="523"/>
      <c r="E26" s="545"/>
      <c r="F26" s="398"/>
      <c r="G26" s="34" t="s">
        <v>23</v>
      </c>
      <c r="H26" s="8">
        <f t="shared" ref="H26:M26" si="5">+SUM(H25:H25)</f>
        <v>0</v>
      </c>
      <c r="I26" s="8">
        <f t="shared" si="5"/>
        <v>0</v>
      </c>
      <c r="J26" s="8">
        <f t="shared" si="5"/>
        <v>0</v>
      </c>
      <c r="K26" s="8">
        <f t="shared" si="5"/>
        <v>0</v>
      </c>
      <c r="L26" s="8">
        <f t="shared" si="5"/>
        <v>0</v>
      </c>
      <c r="M26" s="8">
        <f t="shared" si="5"/>
        <v>0</v>
      </c>
      <c r="N26" s="220">
        <f>+H26+L26+M26</f>
        <v>0</v>
      </c>
      <c r="O26" s="86" t="s">
        <v>413</v>
      </c>
      <c r="P26" s="82" t="s">
        <v>62</v>
      </c>
      <c r="Q26" s="82">
        <v>2</v>
      </c>
      <c r="R26" s="82">
        <v>2</v>
      </c>
      <c r="S26" s="82">
        <v>2</v>
      </c>
      <c r="T26" s="402"/>
      <c r="U26" s="627"/>
    </row>
    <row r="27" spans="1:21" ht="12.75" x14ac:dyDescent="0.2">
      <c r="A27" s="404" t="s">
        <v>46</v>
      </c>
      <c r="B27" s="710" t="s">
        <v>46</v>
      </c>
      <c r="C27" s="712" t="s">
        <v>46</v>
      </c>
      <c r="D27" s="521" t="s">
        <v>414</v>
      </c>
      <c r="E27" s="544" t="s">
        <v>169</v>
      </c>
      <c r="F27" s="397">
        <v>188718713</v>
      </c>
      <c r="G27" s="33" t="s">
        <v>141</v>
      </c>
      <c r="H27" s="2"/>
      <c r="I27" s="2"/>
      <c r="J27" s="2"/>
      <c r="K27" s="2"/>
      <c r="L27" s="7">
        <f>+(H27*0.05)+H27</f>
        <v>0</v>
      </c>
      <c r="M27" s="7">
        <f>+H27*0.1+H27</f>
        <v>0</v>
      </c>
      <c r="N27" s="2">
        <f>+H27+L27+M27</f>
        <v>0</v>
      </c>
      <c r="O27" s="462" t="s">
        <v>415</v>
      </c>
      <c r="P27" s="380" t="s">
        <v>62</v>
      </c>
      <c r="Q27" s="380">
        <v>2</v>
      </c>
      <c r="R27" s="380">
        <v>3</v>
      </c>
      <c r="S27" s="380">
        <v>1</v>
      </c>
      <c r="T27" s="401" t="s">
        <v>412</v>
      </c>
      <c r="U27" s="627"/>
    </row>
    <row r="28" spans="1:21" ht="12.75" x14ac:dyDescent="0.2">
      <c r="A28" s="447"/>
      <c r="B28" s="717"/>
      <c r="C28" s="718"/>
      <c r="D28" s="522"/>
      <c r="E28" s="591"/>
      <c r="F28" s="457"/>
      <c r="G28" s="33" t="s">
        <v>40</v>
      </c>
      <c r="H28" s="7"/>
      <c r="I28" s="7"/>
      <c r="J28" s="7"/>
      <c r="K28" s="7"/>
      <c r="L28" s="7">
        <f>+(H28*0.05)+H28</f>
        <v>0</v>
      </c>
      <c r="M28" s="7">
        <f>+H28*0.1+H28</f>
        <v>0</v>
      </c>
      <c r="N28" s="7">
        <f>+H28+L28+M28</f>
        <v>0</v>
      </c>
      <c r="O28" s="631"/>
      <c r="P28" s="389"/>
      <c r="Q28" s="389"/>
      <c r="R28" s="389"/>
      <c r="S28" s="389"/>
      <c r="T28" s="431"/>
      <c r="U28" s="627"/>
    </row>
    <row r="29" spans="1:21" ht="12.75" x14ac:dyDescent="0.2">
      <c r="A29" s="405"/>
      <c r="B29" s="711"/>
      <c r="C29" s="713"/>
      <c r="D29" s="523"/>
      <c r="E29" s="545"/>
      <c r="F29" s="398"/>
      <c r="G29" s="34" t="s">
        <v>23</v>
      </c>
      <c r="H29" s="4">
        <f>+H27+H28</f>
        <v>0</v>
      </c>
      <c r="I29" s="4">
        <f t="shared" ref="I29:N29" si="6">+I27+I28</f>
        <v>0</v>
      </c>
      <c r="J29" s="4">
        <f t="shared" si="6"/>
        <v>0</v>
      </c>
      <c r="K29" s="4">
        <f t="shared" si="6"/>
        <v>0</v>
      </c>
      <c r="L29" s="4">
        <f t="shared" si="6"/>
        <v>0</v>
      </c>
      <c r="M29" s="4">
        <f t="shared" si="6"/>
        <v>0</v>
      </c>
      <c r="N29" s="4">
        <f t="shared" si="6"/>
        <v>0</v>
      </c>
      <c r="O29" s="463"/>
      <c r="P29" s="381"/>
      <c r="Q29" s="381"/>
      <c r="R29" s="381"/>
      <c r="S29" s="381"/>
      <c r="T29" s="402"/>
      <c r="U29" s="627"/>
    </row>
    <row r="30" spans="1:21" ht="22.5" customHeight="1" x14ac:dyDescent="0.2">
      <c r="A30" s="404" t="s">
        <v>46</v>
      </c>
      <c r="B30" s="710" t="s">
        <v>46</v>
      </c>
      <c r="C30" s="712" t="s">
        <v>50</v>
      </c>
      <c r="D30" s="521" t="s">
        <v>416</v>
      </c>
      <c r="E30" s="544" t="s">
        <v>66</v>
      </c>
      <c r="F30" s="397">
        <v>188718713</v>
      </c>
      <c r="G30" s="33" t="s">
        <v>40</v>
      </c>
      <c r="H30" s="7"/>
      <c r="I30" s="7"/>
      <c r="J30" s="7"/>
      <c r="K30" s="7"/>
      <c r="L30" s="7">
        <f>+(H30*0.05)+H30</f>
        <v>0</v>
      </c>
      <c r="M30" s="7">
        <f>+H30*0.1+H30</f>
        <v>0</v>
      </c>
      <c r="N30" s="7">
        <f>+H30+L30+M30</f>
        <v>0</v>
      </c>
      <c r="O30" s="86" t="s">
        <v>417</v>
      </c>
      <c r="P30" s="82" t="s">
        <v>62</v>
      </c>
      <c r="Q30" s="82">
        <v>1</v>
      </c>
      <c r="R30" s="82">
        <v>1</v>
      </c>
      <c r="S30" s="82">
        <v>1</v>
      </c>
      <c r="T30" s="401" t="s">
        <v>412</v>
      </c>
      <c r="U30" s="627"/>
    </row>
    <row r="31" spans="1:21" ht="33" customHeight="1" x14ac:dyDescent="0.2">
      <c r="A31" s="405"/>
      <c r="B31" s="711"/>
      <c r="C31" s="713"/>
      <c r="D31" s="523"/>
      <c r="E31" s="545"/>
      <c r="F31" s="398"/>
      <c r="G31" s="34" t="s">
        <v>23</v>
      </c>
      <c r="H31" s="4">
        <f>+H30</f>
        <v>0</v>
      </c>
      <c r="I31" s="4">
        <f t="shared" ref="I31:N31" si="7">+I30</f>
        <v>0</v>
      </c>
      <c r="J31" s="4">
        <f t="shared" si="7"/>
        <v>0</v>
      </c>
      <c r="K31" s="4">
        <f t="shared" si="7"/>
        <v>0</v>
      </c>
      <c r="L31" s="4">
        <f t="shared" si="7"/>
        <v>0</v>
      </c>
      <c r="M31" s="4">
        <f t="shared" si="7"/>
        <v>0</v>
      </c>
      <c r="N31" s="4">
        <f t="shared" si="7"/>
        <v>0</v>
      </c>
      <c r="O31" s="86" t="s">
        <v>418</v>
      </c>
      <c r="P31" s="82" t="s">
        <v>62</v>
      </c>
      <c r="Q31" s="82">
        <v>5</v>
      </c>
      <c r="R31" s="82">
        <v>5</v>
      </c>
      <c r="S31" s="82">
        <v>5</v>
      </c>
      <c r="T31" s="402"/>
      <c r="U31" s="627"/>
    </row>
    <row r="32" spans="1:21" ht="14.25" customHeight="1" x14ac:dyDescent="0.2">
      <c r="A32" s="559" t="s">
        <v>236</v>
      </c>
      <c r="B32" s="560"/>
      <c r="C32" s="560"/>
      <c r="D32" s="560"/>
      <c r="E32" s="560"/>
      <c r="F32" s="560"/>
      <c r="G32" s="561"/>
      <c r="H32" s="227">
        <f>+SUM(H33:H41)</f>
        <v>209.7</v>
      </c>
      <c r="I32" s="227" t="e">
        <f t="shared" ref="I32:N32" si="8">+SUM(I33:I41)</f>
        <v>#REF!</v>
      </c>
      <c r="J32" s="227" t="e">
        <f t="shared" si="8"/>
        <v>#REF!</v>
      </c>
      <c r="K32" s="227" t="e">
        <f t="shared" si="8"/>
        <v>#REF!</v>
      </c>
      <c r="L32" s="227">
        <f t="shared" si="8"/>
        <v>220.185</v>
      </c>
      <c r="M32" s="227">
        <f t="shared" si="8"/>
        <v>231.19425000000004</v>
      </c>
      <c r="N32" s="227">
        <f t="shared" si="8"/>
        <v>277.42</v>
      </c>
      <c r="O32" s="227"/>
      <c r="P32" s="227"/>
      <c r="Q32" s="227"/>
      <c r="R32" s="227"/>
      <c r="S32" s="227"/>
      <c r="T32" s="134"/>
      <c r="U32" s="189"/>
    </row>
    <row r="33" spans="1:20" ht="14.25" customHeight="1" x14ac:dyDescent="0.2">
      <c r="A33" s="556">
        <v>8</v>
      </c>
      <c r="B33" s="557"/>
      <c r="C33" s="557"/>
      <c r="D33" s="557"/>
      <c r="E33" s="557"/>
      <c r="F33" s="558"/>
      <c r="G33" s="34" t="s">
        <v>40</v>
      </c>
      <c r="H33" s="228">
        <f>++H13+H23+H15+H18+H10</f>
        <v>88</v>
      </c>
      <c r="I33" s="228" t="e">
        <f>++I13+I23+#REF!+#REF!+#REF!+#REF!+#REF!+#REF!+I15+I18</f>
        <v>#REF!</v>
      </c>
      <c r="J33" s="228" t="e">
        <f>++J13+J23+#REF!+#REF!+#REF!+#REF!+#REF!+#REF!+J15+J18</f>
        <v>#REF!</v>
      </c>
      <c r="K33" s="228" t="e">
        <f>++K13+K23+#REF!+#REF!+#REF!+#REF!+#REF!+#REF!+K15+K18</f>
        <v>#REF!</v>
      </c>
      <c r="L33" s="228">
        <f>++L13+L23+L15+L18+L10</f>
        <v>92.4</v>
      </c>
      <c r="M33" s="228">
        <f>++M13+M23+M15+M18+M10</f>
        <v>97.02000000000001</v>
      </c>
      <c r="N33" s="228">
        <f>+N23+N10</f>
        <v>277.42</v>
      </c>
      <c r="O33" s="228"/>
      <c r="P33" s="228"/>
      <c r="Q33" s="228"/>
      <c r="R33" s="228"/>
      <c r="S33" s="228"/>
      <c r="T33" s="52"/>
    </row>
    <row r="34" spans="1:20" ht="14.25" customHeight="1" x14ac:dyDescent="0.2">
      <c r="A34" s="556"/>
      <c r="B34" s="557"/>
      <c r="C34" s="557"/>
      <c r="D34" s="557"/>
      <c r="E34" s="557"/>
      <c r="F34" s="558"/>
      <c r="G34" s="34" t="s">
        <v>53</v>
      </c>
      <c r="H34" s="228">
        <v>0</v>
      </c>
      <c r="I34" s="228">
        <v>0</v>
      </c>
      <c r="J34" s="228">
        <v>0</v>
      </c>
      <c r="K34" s="228">
        <v>0</v>
      </c>
      <c r="L34" s="228">
        <v>0</v>
      </c>
      <c r="M34" s="228">
        <v>0</v>
      </c>
      <c r="N34" s="228">
        <v>0</v>
      </c>
      <c r="O34" s="228"/>
      <c r="P34" s="228"/>
      <c r="Q34" s="228"/>
      <c r="R34" s="228"/>
      <c r="S34" s="228"/>
      <c r="T34" s="52"/>
    </row>
    <row r="35" spans="1:20" ht="27" customHeight="1" x14ac:dyDescent="0.2">
      <c r="A35" s="556"/>
      <c r="B35" s="557"/>
      <c r="C35" s="557"/>
      <c r="D35" s="557"/>
      <c r="E35" s="557"/>
      <c r="F35" s="558"/>
      <c r="G35" s="34" t="s">
        <v>95</v>
      </c>
      <c r="H35" s="228">
        <f>++H9</f>
        <v>121.7</v>
      </c>
      <c r="I35" s="228">
        <f t="shared" ref="I35:N35" si="9">+I14</f>
        <v>0</v>
      </c>
      <c r="J35" s="228">
        <f t="shared" si="9"/>
        <v>0</v>
      </c>
      <c r="K35" s="228">
        <f t="shared" si="9"/>
        <v>0</v>
      </c>
      <c r="L35" s="228">
        <f>++L9</f>
        <v>127.78500000000001</v>
      </c>
      <c r="M35" s="228">
        <f>++M9</f>
        <v>134.17425000000003</v>
      </c>
      <c r="N35" s="228">
        <f t="shared" si="9"/>
        <v>0</v>
      </c>
      <c r="O35" s="228"/>
      <c r="P35" s="228"/>
      <c r="Q35" s="228"/>
      <c r="R35" s="228"/>
      <c r="S35" s="228"/>
      <c r="T35" s="52"/>
    </row>
    <row r="36" spans="1:20" ht="14.25" customHeight="1" x14ac:dyDescent="0.2">
      <c r="A36" s="556"/>
      <c r="B36" s="557"/>
      <c r="C36" s="557"/>
      <c r="D36" s="557"/>
      <c r="E36" s="557"/>
      <c r="F36" s="558"/>
      <c r="G36" s="34" t="s">
        <v>178</v>
      </c>
      <c r="H36" s="229">
        <v>0</v>
      </c>
      <c r="I36" s="229">
        <v>0</v>
      </c>
      <c r="J36" s="229">
        <v>0</v>
      </c>
      <c r="K36" s="229">
        <v>0</v>
      </c>
      <c r="L36" s="229">
        <v>0</v>
      </c>
      <c r="M36" s="229">
        <v>0</v>
      </c>
      <c r="N36" s="229">
        <v>0</v>
      </c>
      <c r="O36" s="229"/>
      <c r="P36" s="229"/>
      <c r="Q36" s="229"/>
      <c r="R36" s="229"/>
      <c r="S36" s="229"/>
      <c r="T36" s="202"/>
    </row>
    <row r="37" spans="1:20" ht="14.25" customHeight="1" x14ac:dyDescent="0.2">
      <c r="A37" s="556"/>
      <c r="B37" s="557"/>
      <c r="C37" s="557"/>
      <c r="D37" s="557"/>
      <c r="E37" s="557"/>
      <c r="F37" s="558"/>
      <c r="G37" s="34" t="s">
        <v>149</v>
      </c>
      <c r="H37" s="229">
        <v>0</v>
      </c>
      <c r="I37" s="229" t="e">
        <f>+#REF!</f>
        <v>#REF!</v>
      </c>
      <c r="J37" s="229" t="e">
        <f>+#REF!</f>
        <v>#REF!</v>
      </c>
      <c r="K37" s="229" t="e">
        <f>+#REF!</f>
        <v>#REF!</v>
      </c>
      <c r="L37" s="229">
        <v>0</v>
      </c>
      <c r="M37" s="229">
        <v>0</v>
      </c>
      <c r="N37" s="229">
        <v>0</v>
      </c>
      <c r="O37" s="229"/>
      <c r="P37" s="229"/>
      <c r="Q37" s="229"/>
      <c r="R37" s="229"/>
      <c r="S37" s="229"/>
      <c r="T37" s="202"/>
    </row>
    <row r="38" spans="1:20" ht="14.25" customHeight="1" x14ac:dyDescent="0.2">
      <c r="A38" s="556"/>
      <c r="B38" s="557"/>
      <c r="C38" s="557"/>
      <c r="D38" s="557"/>
      <c r="E38" s="557"/>
      <c r="F38" s="558"/>
      <c r="G38" s="34" t="s">
        <v>179</v>
      </c>
      <c r="H38" s="229">
        <v>0</v>
      </c>
      <c r="I38" s="229">
        <v>0</v>
      </c>
      <c r="J38" s="229">
        <v>0</v>
      </c>
      <c r="K38" s="229">
        <v>0</v>
      </c>
      <c r="L38" s="229">
        <v>0</v>
      </c>
      <c r="M38" s="229">
        <v>0</v>
      </c>
      <c r="N38" s="229">
        <v>0</v>
      </c>
      <c r="O38" s="229"/>
      <c r="P38" s="229"/>
      <c r="Q38" s="229"/>
      <c r="R38" s="229"/>
      <c r="S38" s="229"/>
      <c r="T38" s="202"/>
    </row>
    <row r="39" spans="1:20" ht="14.25" customHeight="1" x14ac:dyDescent="0.2">
      <c r="A39" s="556"/>
      <c r="B39" s="557"/>
      <c r="C39" s="557"/>
      <c r="D39" s="557"/>
      <c r="E39" s="557"/>
      <c r="F39" s="558"/>
      <c r="G39" s="34" t="s">
        <v>238</v>
      </c>
      <c r="H39" s="229">
        <v>0</v>
      </c>
      <c r="I39" s="229">
        <v>0</v>
      </c>
      <c r="J39" s="229">
        <v>0</v>
      </c>
      <c r="K39" s="229">
        <v>0</v>
      </c>
      <c r="L39" s="229">
        <v>0</v>
      </c>
      <c r="M39" s="229">
        <v>0</v>
      </c>
      <c r="N39" s="229">
        <v>0</v>
      </c>
      <c r="O39" s="229"/>
      <c r="P39" s="229"/>
      <c r="Q39" s="229"/>
      <c r="R39" s="229"/>
      <c r="S39" s="229"/>
      <c r="T39" s="202"/>
    </row>
    <row r="40" spans="1:20" ht="14.25" customHeight="1" x14ac:dyDescent="0.2">
      <c r="A40" s="556"/>
      <c r="B40" s="557"/>
      <c r="C40" s="557"/>
      <c r="D40" s="557"/>
      <c r="E40" s="557"/>
      <c r="F40" s="558"/>
      <c r="G40" s="34" t="s">
        <v>141</v>
      </c>
      <c r="H40" s="229">
        <v>0</v>
      </c>
      <c r="I40" s="229" t="e">
        <f>+#REF!+#REF!</f>
        <v>#REF!</v>
      </c>
      <c r="J40" s="229" t="e">
        <f>+#REF!+#REF!</f>
        <v>#REF!</v>
      </c>
      <c r="K40" s="229" t="e">
        <f>+#REF!+#REF!</f>
        <v>#REF!</v>
      </c>
      <c r="L40" s="229">
        <v>0</v>
      </c>
      <c r="M40" s="229">
        <v>0</v>
      </c>
      <c r="N40" s="229">
        <v>0</v>
      </c>
      <c r="O40" s="229"/>
      <c r="P40" s="229"/>
      <c r="Q40" s="229"/>
      <c r="R40" s="229"/>
      <c r="S40" s="229"/>
      <c r="T40" s="202"/>
    </row>
    <row r="41" spans="1:20" ht="14.25" customHeight="1" x14ac:dyDescent="0.2">
      <c r="A41" s="556"/>
      <c r="B41" s="557"/>
      <c r="C41" s="557"/>
      <c r="D41" s="557"/>
      <c r="E41" s="557"/>
      <c r="F41" s="558"/>
      <c r="G41" s="53" t="s">
        <v>144</v>
      </c>
      <c r="H41" s="229">
        <v>0</v>
      </c>
      <c r="I41" s="229">
        <v>0</v>
      </c>
      <c r="J41" s="229">
        <v>0</v>
      </c>
      <c r="K41" s="229">
        <v>0</v>
      </c>
      <c r="L41" s="229">
        <v>0</v>
      </c>
      <c r="M41" s="229">
        <v>0</v>
      </c>
      <c r="N41" s="229">
        <v>0</v>
      </c>
      <c r="O41" s="229"/>
      <c r="P41" s="229"/>
      <c r="Q41" s="229"/>
      <c r="R41" s="229"/>
      <c r="S41" s="229"/>
      <c r="T41" s="202"/>
    </row>
    <row r="42" spans="1:20" ht="14.25" customHeight="1" x14ac:dyDescent="0.2">
      <c r="H42" s="196"/>
    </row>
    <row r="43" spans="1:20" ht="14.25" customHeight="1" x14ac:dyDescent="0.2"/>
    <row r="44" spans="1:20" ht="14.25" customHeight="1" x14ac:dyDescent="0.2"/>
    <row r="45" spans="1:20" ht="14.25" customHeight="1" x14ac:dyDescent="0.2"/>
    <row r="46" spans="1:20" ht="14.25" customHeight="1" x14ac:dyDescent="0.2"/>
    <row r="47" spans="1:20" ht="14.25" customHeight="1" x14ac:dyDescent="0.2"/>
    <row r="48" spans="1:20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</sheetData>
  <mergeCells count="99">
    <mergeCell ref="A38:F38"/>
    <mergeCell ref="A39:F39"/>
    <mergeCell ref="A40:F40"/>
    <mergeCell ref="A41:F41"/>
    <mergeCell ref="A32:G32"/>
    <mergeCell ref="A33:F33"/>
    <mergeCell ref="A34:F34"/>
    <mergeCell ref="A35:F35"/>
    <mergeCell ref="A36:F36"/>
    <mergeCell ref="A37:F37"/>
    <mergeCell ref="U27:U29"/>
    <mergeCell ref="A30:A31"/>
    <mergeCell ref="B30:B31"/>
    <mergeCell ref="C30:C31"/>
    <mergeCell ref="D30:D31"/>
    <mergeCell ref="E30:E31"/>
    <mergeCell ref="F30:F31"/>
    <mergeCell ref="T30:T31"/>
    <mergeCell ref="U30:U31"/>
    <mergeCell ref="O27:O29"/>
    <mergeCell ref="P27:P29"/>
    <mergeCell ref="Q27:Q29"/>
    <mergeCell ref="R27:R29"/>
    <mergeCell ref="S27:S29"/>
    <mergeCell ref="T27:T29"/>
    <mergeCell ref="A27:A29"/>
    <mergeCell ref="B27:B29"/>
    <mergeCell ref="C27:C29"/>
    <mergeCell ref="D27:D29"/>
    <mergeCell ref="E27:E29"/>
    <mergeCell ref="F27:F29"/>
    <mergeCell ref="U22:U23"/>
    <mergeCell ref="C24:T24"/>
    <mergeCell ref="A25:A26"/>
    <mergeCell ref="B25:B26"/>
    <mergeCell ref="C25:C26"/>
    <mergeCell ref="D25:D26"/>
    <mergeCell ref="E25:E26"/>
    <mergeCell ref="F25:F26"/>
    <mergeCell ref="T25:T26"/>
    <mergeCell ref="U25:U26"/>
    <mergeCell ref="B20:T20"/>
    <mergeCell ref="C21:T21"/>
    <mergeCell ref="A22:A23"/>
    <mergeCell ref="B22:B23"/>
    <mergeCell ref="C22:C23"/>
    <mergeCell ref="D22:D23"/>
    <mergeCell ref="E22:E23"/>
    <mergeCell ref="F22:F23"/>
    <mergeCell ref="T22:T23"/>
    <mergeCell ref="T15:T16"/>
    <mergeCell ref="C17:T17"/>
    <mergeCell ref="A18:A19"/>
    <mergeCell ref="B18:B19"/>
    <mergeCell ref="C18:C19"/>
    <mergeCell ref="D18:D19"/>
    <mergeCell ref="E18:E19"/>
    <mergeCell ref="F18:F19"/>
    <mergeCell ref="T18:T19"/>
    <mergeCell ref="A15:A16"/>
    <mergeCell ref="B15:B16"/>
    <mergeCell ref="C15:C16"/>
    <mergeCell ref="D15:D16"/>
    <mergeCell ref="E15:E16"/>
    <mergeCell ref="F15:F16"/>
    <mergeCell ref="T9:T11"/>
    <mergeCell ref="U9:U11"/>
    <mergeCell ref="C12:T12"/>
    <mergeCell ref="A13:A14"/>
    <mergeCell ref="B13:B14"/>
    <mergeCell ref="C13:C14"/>
    <mergeCell ref="D13:D14"/>
    <mergeCell ref="E13:E14"/>
    <mergeCell ref="F13:F14"/>
    <mergeCell ref="T13:T14"/>
    <mergeCell ref="A9:A11"/>
    <mergeCell ref="B9:B11"/>
    <mergeCell ref="C9:C11"/>
    <mergeCell ref="D9:D11"/>
    <mergeCell ref="E9:E11"/>
    <mergeCell ref="F9:F11"/>
    <mergeCell ref="C8:T8"/>
    <mergeCell ref="G2:G4"/>
    <mergeCell ref="H2:K2"/>
    <mergeCell ref="L2:L4"/>
    <mergeCell ref="M2:M4"/>
    <mergeCell ref="N2:N4"/>
    <mergeCell ref="O2:S2"/>
    <mergeCell ref="F2:F4"/>
    <mergeCell ref="T2:T4"/>
    <mergeCell ref="H3:H4"/>
    <mergeCell ref="I3:K3"/>
    <mergeCell ref="Q3:S3"/>
    <mergeCell ref="C7:T7"/>
    <mergeCell ref="A2:A4"/>
    <mergeCell ref="B2:B4"/>
    <mergeCell ref="C2:C4"/>
    <mergeCell ref="D2:D4"/>
    <mergeCell ref="E2:E4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963E8-609F-44B7-A320-F3FF68CDD412}">
  <dimension ref="A2:U311"/>
  <sheetViews>
    <sheetView topLeftCell="A4" workbookViewId="0">
      <selection activeCell="A23" sqref="A23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36.85546875" style="15" customWidth="1"/>
    <col min="5" max="5" width="4.42578125" style="238" customWidth="1"/>
    <col min="6" max="6" width="17.42578125" style="239" customWidth="1"/>
    <col min="7" max="7" width="7" style="26" customWidth="1" outlineLevel="1"/>
    <col min="8" max="8" width="9.85546875" style="20" customWidth="1" outlineLevel="1"/>
    <col min="9" max="9" width="10" style="20" hidden="1" customWidth="1" outlineLevel="1"/>
    <col min="10" max="10" width="9.5703125" style="20" hidden="1" customWidth="1" outlineLevel="1"/>
    <col min="11" max="11" width="8.5703125" style="20" hidden="1" customWidth="1" outlineLevel="1"/>
    <col min="12" max="12" width="11" style="20" customWidth="1" outlineLevel="1"/>
    <col min="13" max="13" width="10.85546875" style="20" customWidth="1" outlineLevel="1"/>
    <col min="14" max="14" width="12.42578125" style="20" customWidth="1" outlineLevel="1"/>
    <col min="15" max="15" width="27.140625" style="20" customWidth="1"/>
    <col min="16" max="16" width="8.85546875" style="20" customWidth="1"/>
    <col min="17" max="17" width="8.7109375" style="20" customWidth="1"/>
    <col min="18" max="18" width="10" style="20" customWidth="1"/>
    <col min="19" max="19" width="9.28515625" style="20" customWidth="1"/>
    <col min="20" max="20" width="17.5703125" style="205" customWidth="1"/>
    <col min="21" max="21" width="22" style="20" customWidth="1"/>
    <col min="22" max="16384" width="9.140625" style="20"/>
  </cols>
  <sheetData>
    <row r="2" spans="1:21" ht="12.75" customHeight="1" x14ac:dyDescent="0.25">
      <c r="A2" s="489" t="s">
        <v>13</v>
      </c>
      <c r="B2" s="489" t="s">
        <v>14</v>
      </c>
      <c r="C2" s="490" t="s">
        <v>15</v>
      </c>
      <c r="D2" s="397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530" t="s">
        <v>23</v>
      </c>
      <c r="O2" s="475" t="s">
        <v>24</v>
      </c>
      <c r="P2" s="475"/>
      <c r="Q2" s="475"/>
      <c r="R2" s="475"/>
      <c r="S2" s="475"/>
      <c r="T2" s="469" t="s">
        <v>25</v>
      </c>
    </row>
    <row r="3" spans="1:21" ht="15" customHeight="1" x14ac:dyDescent="0.2">
      <c r="A3" s="489"/>
      <c r="B3" s="489"/>
      <c r="C3" s="490"/>
      <c r="D3" s="457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531"/>
      <c r="O3" s="71"/>
      <c r="P3" s="67"/>
      <c r="Q3" s="475" t="s">
        <v>27</v>
      </c>
      <c r="R3" s="475"/>
      <c r="S3" s="475"/>
      <c r="T3" s="470"/>
    </row>
    <row r="4" spans="1:21" ht="80.45" customHeight="1" x14ac:dyDescent="0.2">
      <c r="A4" s="489"/>
      <c r="B4" s="489"/>
      <c r="C4" s="490"/>
      <c r="D4" s="398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53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471"/>
      <c r="U4" s="185"/>
    </row>
    <row r="5" spans="1:21" ht="20.25" customHeight="1" x14ac:dyDescent="0.2">
      <c r="A5" s="216" t="s">
        <v>419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8"/>
      <c r="U5" s="18"/>
    </row>
    <row r="6" spans="1:21" ht="14.25" customHeight="1" x14ac:dyDescent="0.2">
      <c r="A6" s="115" t="s">
        <v>36</v>
      </c>
      <c r="B6" s="28" t="s">
        <v>420</v>
      </c>
      <c r="C6" s="29"/>
      <c r="D6" s="29"/>
      <c r="E6" s="29"/>
      <c r="F6" s="29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  <c r="U6" s="18"/>
    </row>
    <row r="7" spans="1:21" x14ac:dyDescent="0.2">
      <c r="A7" s="224" t="s">
        <v>36</v>
      </c>
      <c r="B7" s="32" t="s">
        <v>36</v>
      </c>
      <c r="C7" s="424" t="s">
        <v>421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  <c r="U7" s="18"/>
    </row>
    <row r="8" spans="1:21" ht="25.5" x14ac:dyDescent="0.2">
      <c r="A8" s="404" t="s">
        <v>36</v>
      </c>
      <c r="B8" s="448" t="s">
        <v>36</v>
      </c>
      <c r="C8" s="427" t="s">
        <v>36</v>
      </c>
      <c r="D8" s="397" t="s">
        <v>422</v>
      </c>
      <c r="E8" s="508" t="s">
        <v>55</v>
      </c>
      <c r="F8" s="397">
        <v>188718713</v>
      </c>
      <c r="G8" s="230" t="s">
        <v>95</v>
      </c>
      <c r="H8" s="119">
        <v>213.9</v>
      </c>
      <c r="I8" s="119"/>
      <c r="J8" s="119"/>
      <c r="K8" s="119"/>
      <c r="L8" s="7">
        <f>+(H8*0.05)+H8</f>
        <v>224.595</v>
      </c>
      <c r="M8" s="7">
        <f>L8*1.05</f>
        <v>235.82475000000002</v>
      </c>
      <c r="N8" s="119">
        <f>+H8+L8+M8</f>
        <v>674.31975</v>
      </c>
      <c r="O8" s="186" t="s">
        <v>423</v>
      </c>
      <c r="P8" s="128" t="s">
        <v>62</v>
      </c>
      <c r="Q8" s="128">
        <v>3200</v>
      </c>
      <c r="R8" s="128">
        <v>3220</v>
      </c>
      <c r="S8" s="128">
        <v>3240</v>
      </c>
      <c r="T8" s="691" t="s">
        <v>424</v>
      </c>
      <c r="U8" s="18"/>
    </row>
    <row r="9" spans="1:21" ht="12.75" x14ac:dyDescent="0.2">
      <c r="A9" s="447"/>
      <c r="B9" s="448"/>
      <c r="C9" s="427"/>
      <c r="D9" s="457"/>
      <c r="E9" s="508"/>
      <c r="F9" s="457"/>
      <c r="G9" s="130" t="s">
        <v>40</v>
      </c>
      <c r="H9" s="119">
        <v>84.7</v>
      </c>
      <c r="I9" s="119"/>
      <c r="J9" s="119"/>
      <c r="K9" s="119"/>
      <c r="L9" s="7">
        <f>+(H9*0.05)+H9</f>
        <v>88.935000000000002</v>
      </c>
      <c r="M9" s="7">
        <f>L9*1.05</f>
        <v>93.381750000000011</v>
      </c>
      <c r="N9" s="119">
        <f>+H9+L9+M9</f>
        <v>267.01675</v>
      </c>
      <c r="O9" s="462" t="s">
        <v>425</v>
      </c>
      <c r="P9" s="536" t="s">
        <v>62</v>
      </c>
      <c r="Q9" s="536">
        <v>1140</v>
      </c>
      <c r="R9" s="536">
        <v>1180</v>
      </c>
      <c r="S9" s="536">
        <v>1200</v>
      </c>
      <c r="T9" s="692"/>
      <c r="U9" s="18"/>
    </row>
    <row r="10" spans="1:21" ht="14.25" customHeight="1" x14ac:dyDescent="0.2">
      <c r="A10" s="447"/>
      <c r="B10" s="448"/>
      <c r="C10" s="427"/>
      <c r="D10" s="398"/>
      <c r="E10" s="504"/>
      <c r="F10" s="398"/>
      <c r="G10" s="126" t="s">
        <v>23</v>
      </c>
      <c r="H10" s="123">
        <f>+H8+H9</f>
        <v>298.60000000000002</v>
      </c>
      <c r="I10" s="123">
        <f t="shared" ref="I10:N10" si="0">+I8+I9</f>
        <v>0</v>
      </c>
      <c r="J10" s="123">
        <f t="shared" si="0"/>
        <v>0</v>
      </c>
      <c r="K10" s="123">
        <f t="shared" si="0"/>
        <v>0</v>
      </c>
      <c r="L10" s="123">
        <f t="shared" si="0"/>
        <v>313.52999999999997</v>
      </c>
      <c r="M10" s="123">
        <f t="shared" si="0"/>
        <v>329.20650000000001</v>
      </c>
      <c r="N10" s="123">
        <f t="shared" si="0"/>
        <v>941.3365</v>
      </c>
      <c r="O10" s="463"/>
      <c r="P10" s="537"/>
      <c r="Q10" s="537"/>
      <c r="R10" s="537"/>
      <c r="S10" s="537"/>
      <c r="T10" s="693"/>
      <c r="U10" s="18"/>
    </row>
    <row r="11" spans="1:21" ht="14.25" customHeight="1" x14ac:dyDescent="0.2">
      <c r="A11" s="115" t="s">
        <v>46</v>
      </c>
      <c r="B11" s="592" t="s">
        <v>426</v>
      </c>
      <c r="C11" s="593"/>
      <c r="D11" s="593"/>
      <c r="E11" s="593"/>
      <c r="F11" s="593"/>
      <c r="G11" s="593"/>
      <c r="H11" s="593"/>
      <c r="I11" s="593"/>
      <c r="J11" s="593"/>
      <c r="K11" s="593"/>
      <c r="L11" s="593"/>
      <c r="M11" s="593"/>
      <c r="N11" s="593"/>
      <c r="O11" s="593"/>
      <c r="P11" s="593"/>
      <c r="Q11" s="593"/>
      <c r="R11" s="593"/>
      <c r="S11" s="593"/>
      <c r="T11" s="594"/>
      <c r="U11" s="18"/>
    </row>
    <row r="12" spans="1:21" ht="14.25" customHeight="1" x14ac:dyDescent="0.2">
      <c r="A12" s="27" t="s">
        <v>46</v>
      </c>
      <c r="B12" s="32" t="s">
        <v>36</v>
      </c>
      <c r="C12" s="424" t="s">
        <v>427</v>
      </c>
      <c r="D12" s="425"/>
      <c r="E12" s="425"/>
      <c r="F12" s="425"/>
      <c r="G12" s="425"/>
      <c r="H12" s="425"/>
      <c r="I12" s="425"/>
      <c r="J12" s="425"/>
      <c r="K12" s="425"/>
      <c r="L12" s="425"/>
      <c r="M12" s="425"/>
      <c r="N12" s="425"/>
      <c r="O12" s="425"/>
      <c r="P12" s="425"/>
      <c r="Q12" s="425"/>
      <c r="R12" s="425"/>
      <c r="S12" s="425"/>
      <c r="T12" s="426"/>
      <c r="U12" s="18"/>
    </row>
    <row r="13" spans="1:21" ht="25.5" x14ac:dyDescent="0.2">
      <c r="A13" s="404" t="s">
        <v>46</v>
      </c>
      <c r="B13" s="406" t="s">
        <v>36</v>
      </c>
      <c r="C13" s="408" t="s">
        <v>46</v>
      </c>
      <c r="D13" s="397" t="s">
        <v>428</v>
      </c>
      <c r="E13" s="410" t="s">
        <v>55</v>
      </c>
      <c r="F13" s="397">
        <v>188718713</v>
      </c>
      <c r="G13" s="130" t="s">
        <v>95</v>
      </c>
      <c r="H13" s="119">
        <v>121</v>
      </c>
      <c r="I13" s="119"/>
      <c r="J13" s="119"/>
      <c r="K13" s="119"/>
      <c r="L13" s="7">
        <f>+(H13*0.05)+H13</f>
        <v>127.05</v>
      </c>
      <c r="M13" s="7">
        <f>L13*1.05</f>
        <v>133.4025</v>
      </c>
      <c r="N13" s="119">
        <f>H13+L13+M13</f>
        <v>381.45249999999999</v>
      </c>
      <c r="O13" s="186" t="s">
        <v>429</v>
      </c>
      <c r="P13" s="231" t="s">
        <v>430</v>
      </c>
      <c r="Q13" s="231">
        <v>50</v>
      </c>
      <c r="R13" s="231">
        <v>50</v>
      </c>
      <c r="S13" s="231">
        <v>50</v>
      </c>
      <c r="T13" s="691" t="s">
        <v>424</v>
      </c>
      <c r="U13" s="18"/>
    </row>
    <row r="14" spans="1:21" ht="25.5" x14ac:dyDescent="0.2">
      <c r="A14" s="447"/>
      <c r="B14" s="448"/>
      <c r="C14" s="427"/>
      <c r="D14" s="457"/>
      <c r="E14" s="449"/>
      <c r="F14" s="398"/>
      <c r="G14" s="126" t="s">
        <v>23</v>
      </c>
      <c r="H14" s="123">
        <f>+H13</f>
        <v>121</v>
      </c>
      <c r="I14" s="123">
        <f t="shared" ref="I14:M14" si="1">+I13</f>
        <v>0</v>
      </c>
      <c r="J14" s="123">
        <f t="shared" si="1"/>
        <v>0</v>
      </c>
      <c r="K14" s="123">
        <f t="shared" si="1"/>
        <v>0</v>
      </c>
      <c r="L14" s="123">
        <f t="shared" si="1"/>
        <v>127.05</v>
      </c>
      <c r="M14" s="123">
        <f t="shared" si="1"/>
        <v>133.4025</v>
      </c>
      <c r="N14" s="123">
        <f>H14+L14+M14</f>
        <v>381.45249999999999</v>
      </c>
      <c r="O14" s="186" t="s">
        <v>431</v>
      </c>
      <c r="P14" s="129" t="s">
        <v>432</v>
      </c>
      <c r="Q14" s="129">
        <v>10</v>
      </c>
      <c r="R14" s="129">
        <v>10</v>
      </c>
      <c r="S14" s="129">
        <v>10</v>
      </c>
      <c r="T14" s="692"/>
      <c r="U14" s="18"/>
    </row>
    <row r="15" spans="1:21" ht="14.25" customHeight="1" x14ac:dyDescent="0.2">
      <c r="A15" s="115" t="s">
        <v>50</v>
      </c>
      <c r="B15" s="592" t="s">
        <v>433</v>
      </c>
      <c r="C15" s="593"/>
      <c r="D15" s="593"/>
      <c r="E15" s="593"/>
      <c r="F15" s="593"/>
      <c r="G15" s="593"/>
      <c r="H15" s="593"/>
      <c r="I15" s="593"/>
      <c r="J15" s="593"/>
      <c r="K15" s="593"/>
      <c r="L15" s="593"/>
      <c r="M15" s="593"/>
      <c r="N15" s="593"/>
      <c r="O15" s="593"/>
      <c r="P15" s="593"/>
      <c r="Q15" s="593"/>
      <c r="R15" s="593"/>
      <c r="S15" s="593"/>
      <c r="T15" s="594"/>
      <c r="U15" s="18"/>
    </row>
    <row r="16" spans="1:21" ht="13.5" customHeight="1" x14ac:dyDescent="0.2">
      <c r="A16" s="232" t="s">
        <v>50</v>
      </c>
      <c r="B16" s="233" t="s">
        <v>36</v>
      </c>
      <c r="C16" s="424" t="s">
        <v>434</v>
      </c>
      <c r="D16" s="425"/>
      <c r="E16" s="425"/>
      <c r="F16" s="425"/>
      <c r="G16" s="425"/>
      <c r="H16" s="425"/>
      <c r="I16" s="425"/>
      <c r="J16" s="425"/>
      <c r="K16" s="425"/>
      <c r="L16" s="425"/>
      <c r="M16" s="425"/>
      <c r="N16" s="425"/>
      <c r="O16" s="425"/>
      <c r="P16" s="425"/>
      <c r="Q16" s="425"/>
      <c r="R16" s="425"/>
      <c r="S16" s="425"/>
      <c r="T16" s="426"/>
      <c r="U16" s="18"/>
    </row>
    <row r="17" spans="1:21" ht="13.5" customHeight="1" x14ac:dyDescent="0.2">
      <c r="A17" s="658" t="s">
        <v>50</v>
      </c>
      <c r="B17" s="720" t="s">
        <v>36</v>
      </c>
      <c r="C17" s="544" t="s">
        <v>50</v>
      </c>
      <c r="D17" s="605" t="s">
        <v>435</v>
      </c>
      <c r="E17" s="722" t="s">
        <v>66</v>
      </c>
      <c r="F17" s="605">
        <v>188718713</v>
      </c>
      <c r="G17" s="234" t="s">
        <v>95</v>
      </c>
      <c r="H17" s="235">
        <v>23</v>
      </c>
      <c r="I17" s="235"/>
      <c r="J17" s="235"/>
      <c r="K17" s="235"/>
      <c r="L17" s="165">
        <f>+(H17*0.05)+H17</f>
        <v>24.15</v>
      </c>
      <c r="M17" s="7">
        <f>L17*1.05</f>
        <v>25.357499999999998</v>
      </c>
      <c r="N17" s="235">
        <f>H17+L17+M17</f>
        <v>72.507499999999993</v>
      </c>
      <c r="O17" s="186"/>
      <c r="P17" s="231"/>
      <c r="Q17" s="231"/>
      <c r="R17" s="231"/>
      <c r="S17" s="231"/>
      <c r="T17" s="505" t="s">
        <v>378</v>
      </c>
      <c r="U17" s="18"/>
    </row>
    <row r="18" spans="1:21" ht="13.5" customHeight="1" x14ac:dyDescent="0.2">
      <c r="A18" s="719"/>
      <c r="B18" s="721"/>
      <c r="C18" s="545"/>
      <c r="D18" s="606"/>
      <c r="E18" s="723"/>
      <c r="F18" s="606"/>
      <c r="G18" s="236" t="s">
        <v>23</v>
      </c>
      <c r="H18" s="237">
        <f t="shared" ref="H18:M18" si="2">+SUM(H17:H17)</f>
        <v>23</v>
      </c>
      <c r="I18" s="237">
        <f t="shared" si="2"/>
        <v>0</v>
      </c>
      <c r="J18" s="237">
        <f t="shared" si="2"/>
        <v>0</v>
      </c>
      <c r="K18" s="237">
        <f t="shared" si="2"/>
        <v>0</v>
      </c>
      <c r="L18" s="237">
        <f t="shared" si="2"/>
        <v>24.15</v>
      </c>
      <c r="M18" s="237">
        <f t="shared" si="2"/>
        <v>25.357499999999998</v>
      </c>
      <c r="N18" s="237">
        <f>H18+L18+M18</f>
        <v>72.507499999999993</v>
      </c>
      <c r="O18" s="186"/>
      <c r="P18" s="129"/>
      <c r="Q18" s="129"/>
      <c r="R18" s="129"/>
      <c r="S18" s="129"/>
      <c r="T18" s="507"/>
      <c r="U18" s="18"/>
    </row>
    <row r="19" spans="1:21" ht="13.5" customHeight="1" x14ac:dyDescent="0.2">
      <c r="A19" s="232" t="s">
        <v>50</v>
      </c>
      <c r="B19" s="233" t="s">
        <v>55</v>
      </c>
      <c r="C19" s="424" t="s">
        <v>436</v>
      </c>
      <c r="D19" s="425"/>
      <c r="E19" s="425"/>
      <c r="F19" s="425"/>
      <c r="G19" s="425"/>
      <c r="H19" s="425"/>
      <c r="I19" s="425"/>
      <c r="J19" s="425"/>
      <c r="K19" s="425"/>
      <c r="L19" s="425"/>
      <c r="M19" s="425"/>
      <c r="N19" s="425"/>
      <c r="O19" s="425"/>
      <c r="P19" s="425"/>
      <c r="Q19" s="425"/>
      <c r="R19" s="425"/>
      <c r="S19" s="425"/>
      <c r="T19" s="426"/>
      <c r="U19" s="18"/>
    </row>
    <row r="20" spans="1:21" ht="25.5" x14ac:dyDescent="0.2">
      <c r="A20" s="658" t="s">
        <v>50</v>
      </c>
      <c r="B20" s="720" t="s">
        <v>55</v>
      </c>
      <c r="C20" s="544" t="s">
        <v>36</v>
      </c>
      <c r="D20" s="397" t="s">
        <v>437</v>
      </c>
      <c r="E20" s="410" t="s">
        <v>66</v>
      </c>
      <c r="F20" s="397">
        <v>188718713</v>
      </c>
      <c r="G20" s="130" t="s">
        <v>40</v>
      </c>
      <c r="H20" s="119">
        <v>40</v>
      </c>
      <c r="I20" s="119"/>
      <c r="J20" s="119"/>
      <c r="K20" s="119"/>
      <c r="L20" s="7">
        <f>+(H20*0.05)+H20</f>
        <v>42</v>
      </c>
      <c r="M20" s="7">
        <f>L20*1.05</f>
        <v>44.1</v>
      </c>
      <c r="N20" s="119">
        <f>H20+L20+M20</f>
        <v>126.1</v>
      </c>
      <c r="O20" s="186" t="s">
        <v>438</v>
      </c>
      <c r="P20" s="231" t="s">
        <v>62</v>
      </c>
      <c r="Q20" s="231">
        <v>2</v>
      </c>
      <c r="R20" s="231">
        <v>2</v>
      </c>
      <c r="S20" s="231">
        <v>2</v>
      </c>
      <c r="T20" s="691" t="s">
        <v>424</v>
      </c>
      <c r="U20" s="18"/>
    </row>
    <row r="21" spans="1:21" ht="27.6" customHeight="1" x14ac:dyDescent="0.2">
      <c r="A21" s="719"/>
      <c r="B21" s="721"/>
      <c r="C21" s="545"/>
      <c r="D21" s="398"/>
      <c r="E21" s="411"/>
      <c r="F21" s="398"/>
      <c r="G21" s="126" t="s">
        <v>23</v>
      </c>
      <c r="H21" s="123">
        <f t="shared" ref="H21:M21" si="3">+SUM(H20:H20)</f>
        <v>40</v>
      </c>
      <c r="I21" s="123">
        <f t="shared" si="3"/>
        <v>0</v>
      </c>
      <c r="J21" s="123">
        <f t="shared" si="3"/>
        <v>0</v>
      </c>
      <c r="K21" s="123">
        <f t="shared" si="3"/>
        <v>0</v>
      </c>
      <c r="L21" s="123">
        <f t="shared" si="3"/>
        <v>42</v>
      </c>
      <c r="M21" s="123">
        <f t="shared" si="3"/>
        <v>44.1</v>
      </c>
      <c r="N21" s="123">
        <f>H21+L21+M21</f>
        <v>126.1</v>
      </c>
      <c r="O21" s="186" t="s">
        <v>439</v>
      </c>
      <c r="P21" s="129" t="s">
        <v>62</v>
      </c>
      <c r="Q21" s="129">
        <v>2</v>
      </c>
      <c r="R21" s="129">
        <v>2</v>
      </c>
      <c r="S21" s="129">
        <v>2</v>
      </c>
      <c r="T21" s="693"/>
      <c r="U21" s="18"/>
    </row>
    <row r="22" spans="1:21" x14ac:dyDescent="0.2">
      <c r="A22" s="232" t="s">
        <v>50</v>
      </c>
      <c r="B22" s="233" t="s">
        <v>169</v>
      </c>
      <c r="C22" s="424" t="s">
        <v>440</v>
      </c>
      <c r="D22" s="425"/>
      <c r="E22" s="425"/>
      <c r="F22" s="425"/>
      <c r="G22" s="425"/>
      <c r="H22" s="425"/>
      <c r="I22" s="425"/>
      <c r="J22" s="425"/>
      <c r="K22" s="425"/>
      <c r="L22" s="425"/>
      <c r="M22" s="425"/>
      <c r="N22" s="425"/>
      <c r="O22" s="425"/>
      <c r="P22" s="425"/>
      <c r="Q22" s="425"/>
      <c r="R22" s="425"/>
      <c r="S22" s="425"/>
      <c r="T22" s="426"/>
      <c r="U22" s="18"/>
    </row>
    <row r="23" spans="1:21" ht="12.75" hidden="1" x14ac:dyDescent="0.2">
      <c r="A23" s="658" t="s">
        <v>50</v>
      </c>
      <c r="B23" s="720" t="s">
        <v>169</v>
      </c>
      <c r="C23" s="544"/>
      <c r="D23" s="714"/>
      <c r="E23" s="410" t="s">
        <v>66</v>
      </c>
      <c r="F23" s="397"/>
      <c r="G23" s="130" t="s">
        <v>40</v>
      </c>
      <c r="H23" s="119"/>
      <c r="I23" s="119"/>
      <c r="J23" s="119"/>
      <c r="K23" s="119"/>
      <c r="L23" s="7"/>
      <c r="M23" s="7"/>
      <c r="N23" s="119"/>
      <c r="O23" s="186"/>
      <c r="P23" s="231"/>
      <c r="Q23" s="231"/>
      <c r="R23" s="231"/>
      <c r="S23" s="231"/>
      <c r="T23" s="691"/>
      <c r="U23" s="18"/>
    </row>
    <row r="24" spans="1:21" ht="12.75" hidden="1" x14ac:dyDescent="0.2">
      <c r="A24" s="719"/>
      <c r="B24" s="721"/>
      <c r="C24" s="545"/>
      <c r="D24" s="715"/>
      <c r="E24" s="411"/>
      <c r="F24" s="398"/>
      <c r="G24" s="126" t="s">
        <v>23</v>
      </c>
      <c r="H24" s="123">
        <f t="shared" ref="H24:M24" si="4">+SUM(H23:H23)</f>
        <v>0</v>
      </c>
      <c r="I24" s="123">
        <f t="shared" si="4"/>
        <v>0</v>
      </c>
      <c r="J24" s="123">
        <f t="shared" si="4"/>
        <v>0</v>
      </c>
      <c r="K24" s="123">
        <f t="shared" si="4"/>
        <v>0</v>
      </c>
      <c r="L24" s="123">
        <f t="shared" si="4"/>
        <v>0</v>
      </c>
      <c r="M24" s="123">
        <f t="shared" si="4"/>
        <v>0</v>
      </c>
      <c r="N24" s="123">
        <f>H24+L24+M24</f>
        <v>0</v>
      </c>
      <c r="O24" s="186"/>
      <c r="P24" s="129"/>
      <c r="Q24" s="129"/>
      <c r="R24" s="129"/>
      <c r="S24" s="129"/>
      <c r="T24" s="693"/>
      <c r="U24" s="18"/>
    </row>
    <row r="25" spans="1:21" ht="14.25" customHeight="1" x14ac:dyDescent="0.2">
      <c r="A25" s="559" t="s">
        <v>236</v>
      </c>
      <c r="B25" s="560"/>
      <c r="C25" s="560"/>
      <c r="D25" s="560"/>
      <c r="E25" s="560"/>
      <c r="F25" s="560"/>
      <c r="G25" s="561"/>
      <c r="H25" s="133">
        <f t="shared" ref="H25:N25" si="5">+SUM(H26:H33)</f>
        <v>482.59999999999997</v>
      </c>
      <c r="I25" s="133">
        <f t="shared" si="5"/>
        <v>0</v>
      </c>
      <c r="J25" s="133" t="e">
        <f t="shared" si="5"/>
        <v>#REF!</v>
      </c>
      <c r="K25" s="133" t="e">
        <f t="shared" si="5"/>
        <v>#REF!</v>
      </c>
      <c r="L25" s="133">
        <f t="shared" si="5"/>
        <v>506.72999999999996</v>
      </c>
      <c r="M25" s="133">
        <f t="shared" si="5"/>
        <v>532.06650000000002</v>
      </c>
      <c r="N25" s="133">
        <f t="shared" si="5"/>
        <v>1521.3964999999998</v>
      </c>
      <c r="O25" s="133"/>
      <c r="P25" s="133"/>
      <c r="Q25" s="133"/>
      <c r="R25" s="133"/>
      <c r="S25" s="133"/>
      <c r="T25" s="134"/>
      <c r="U25" s="18"/>
    </row>
    <row r="26" spans="1:21" ht="14.25" customHeight="1" x14ac:dyDescent="0.2">
      <c r="A26" s="556">
        <v>5</v>
      </c>
      <c r="B26" s="557"/>
      <c r="C26" s="557"/>
      <c r="D26" s="557"/>
      <c r="E26" s="557"/>
      <c r="F26" s="558"/>
      <c r="G26" s="34" t="s">
        <v>40</v>
      </c>
      <c r="H26" s="8">
        <f t="shared" ref="H26:N26" si="6">+H20+H9+H23</f>
        <v>124.7</v>
      </c>
      <c r="I26" s="8">
        <f t="shared" si="6"/>
        <v>0</v>
      </c>
      <c r="J26" s="8">
        <f t="shared" si="6"/>
        <v>0</v>
      </c>
      <c r="K26" s="8">
        <f t="shared" si="6"/>
        <v>0</v>
      </c>
      <c r="L26" s="8">
        <f t="shared" si="6"/>
        <v>130.935</v>
      </c>
      <c r="M26" s="8">
        <f t="shared" si="6"/>
        <v>137.48175000000001</v>
      </c>
      <c r="N26" s="8">
        <f t="shared" si="6"/>
        <v>393.11675000000002</v>
      </c>
      <c r="O26" s="8"/>
      <c r="P26" s="8"/>
      <c r="Q26" s="8"/>
      <c r="R26" s="8"/>
      <c r="S26" s="8"/>
      <c r="T26" s="52"/>
      <c r="U26" s="18"/>
    </row>
    <row r="27" spans="1:21" ht="18.75" customHeight="1" x14ac:dyDescent="0.2">
      <c r="A27" s="556"/>
      <c r="B27" s="557"/>
      <c r="C27" s="557"/>
      <c r="D27" s="557"/>
      <c r="E27" s="557"/>
      <c r="F27" s="558"/>
      <c r="G27" s="34" t="s">
        <v>95</v>
      </c>
      <c r="H27" s="8">
        <f>+H8+H14+H17</f>
        <v>357.9</v>
      </c>
      <c r="I27" s="8">
        <f>+I8+I14+I17</f>
        <v>0</v>
      </c>
      <c r="J27" s="8" t="e">
        <f>+J8+J14+#REF!+J17</f>
        <v>#REF!</v>
      </c>
      <c r="K27" s="8" t="e">
        <f>+K8+K14+#REF!+K17</f>
        <v>#REF!</v>
      </c>
      <c r="L27" s="8">
        <f>+L8+L14+L17</f>
        <v>375.79499999999996</v>
      </c>
      <c r="M27" s="8">
        <f>+M8+M14+M17</f>
        <v>394.58475000000004</v>
      </c>
      <c r="N27" s="8">
        <f>+N8+N14+N17</f>
        <v>1128.2797499999999</v>
      </c>
      <c r="O27" s="8"/>
      <c r="P27" s="8"/>
      <c r="Q27" s="8"/>
      <c r="R27" s="8"/>
      <c r="S27" s="8"/>
      <c r="T27" s="52"/>
      <c r="U27" s="18"/>
    </row>
    <row r="28" spans="1:21" ht="21" customHeight="1" x14ac:dyDescent="0.2">
      <c r="A28" s="556"/>
      <c r="B28" s="557"/>
      <c r="C28" s="557"/>
      <c r="D28" s="557"/>
      <c r="E28" s="557"/>
      <c r="F28" s="558"/>
      <c r="G28" s="34" t="s">
        <v>53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/>
      <c r="P28" s="4"/>
      <c r="Q28" s="4"/>
      <c r="R28" s="4"/>
      <c r="S28" s="4"/>
      <c r="T28" s="52"/>
      <c r="U28" s="18"/>
    </row>
    <row r="29" spans="1:21" ht="14.25" customHeight="1" x14ac:dyDescent="0.2">
      <c r="A29" s="556"/>
      <c r="B29" s="557"/>
      <c r="C29" s="557"/>
      <c r="D29" s="557"/>
      <c r="E29" s="557"/>
      <c r="F29" s="558"/>
      <c r="G29" s="34" t="s">
        <v>178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/>
      <c r="P29" s="4"/>
      <c r="Q29" s="4"/>
      <c r="R29" s="4"/>
      <c r="S29" s="4"/>
      <c r="T29" s="202"/>
      <c r="U29" s="18"/>
    </row>
    <row r="30" spans="1:21" ht="14.25" customHeight="1" x14ac:dyDescent="0.2">
      <c r="A30" s="556"/>
      <c r="B30" s="557"/>
      <c r="C30" s="557"/>
      <c r="D30" s="557"/>
      <c r="E30" s="557"/>
      <c r="F30" s="558"/>
      <c r="G30" s="34" t="s">
        <v>179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/>
      <c r="P30" s="4"/>
      <c r="Q30" s="4"/>
      <c r="R30" s="4"/>
      <c r="S30" s="4"/>
      <c r="T30" s="202"/>
    </row>
    <row r="31" spans="1:21" ht="14.25" customHeight="1" x14ac:dyDescent="0.2">
      <c r="A31" s="556"/>
      <c r="B31" s="557"/>
      <c r="C31" s="557"/>
      <c r="D31" s="557"/>
      <c r="E31" s="557"/>
      <c r="F31" s="558"/>
      <c r="G31" s="34" t="s">
        <v>238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/>
      <c r="P31" s="4"/>
      <c r="Q31" s="4"/>
      <c r="R31" s="4"/>
      <c r="S31" s="4"/>
      <c r="T31" s="202"/>
    </row>
    <row r="32" spans="1:21" ht="14.25" customHeight="1" x14ac:dyDescent="0.2">
      <c r="A32" s="556"/>
      <c r="B32" s="557"/>
      <c r="C32" s="557"/>
      <c r="D32" s="557"/>
      <c r="E32" s="557"/>
      <c r="F32" s="558"/>
      <c r="G32" s="34" t="s">
        <v>141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/>
      <c r="P32" s="4"/>
      <c r="Q32" s="4"/>
      <c r="R32" s="4"/>
      <c r="S32" s="4"/>
      <c r="T32" s="202"/>
    </row>
    <row r="33" spans="1:20" ht="14.25" customHeight="1" x14ac:dyDescent="0.2">
      <c r="A33" s="556"/>
      <c r="B33" s="557"/>
      <c r="C33" s="557"/>
      <c r="D33" s="557"/>
      <c r="E33" s="557"/>
      <c r="F33" s="558"/>
      <c r="G33" s="53" t="s">
        <v>144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/>
      <c r="P33" s="4"/>
      <c r="Q33" s="4"/>
      <c r="R33" s="4"/>
      <c r="S33" s="4"/>
      <c r="T33" s="202"/>
    </row>
    <row r="34" spans="1:20" ht="14.25" customHeight="1" x14ac:dyDescent="0.2"/>
    <row r="35" spans="1:20" ht="14.25" customHeight="1" x14ac:dyDescent="0.2"/>
    <row r="36" spans="1:20" ht="14.25" customHeight="1" x14ac:dyDescent="0.2"/>
    <row r="37" spans="1:20" ht="14.25" customHeight="1" x14ac:dyDescent="0.2"/>
    <row r="38" spans="1:20" ht="14.25" customHeight="1" x14ac:dyDescent="0.2"/>
    <row r="39" spans="1:20" ht="14.25" customHeight="1" x14ac:dyDescent="0.2"/>
    <row r="40" spans="1:20" ht="14.25" customHeight="1" x14ac:dyDescent="0.2"/>
    <row r="41" spans="1:20" ht="14.25" customHeight="1" x14ac:dyDescent="0.2"/>
    <row r="42" spans="1:20" ht="14.25" customHeight="1" x14ac:dyDescent="0.2"/>
    <row r="43" spans="1:20" ht="14.25" customHeight="1" x14ac:dyDescent="0.2"/>
    <row r="44" spans="1:20" ht="14.25" customHeight="1" x14ac:dyDescent="0.2"/>
    <row r="45" spans="1:20" ht="14.25" customHeight="1" x14ac:dyDescent="0.2"/>
    <row r="46" spans="1:20" ht="14.25" customHeight="1" x14ac:dyDescent="0.2"/>
    <row r="47" spans="1:20" ht="14.25" customHeight="1" x14ac:dyDescent="0.2"/>
    <row r="48" spans="1:20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</sheetData>
  <mergeCells count="72">
    <mergeCell ref="A31:F31"/>
    <mergeCell ref="A32:F32"/>
    <mergeCell ref="A33:F33"/>
    <mergeCell ref="A25:G25"/>
    <mergeCell ref="A26:F26"/>
    <mergeCell ref="A27:F27"/>
    <mergeCell ref="A28:F28"/>
    <mergeCell ref="A29:F29"/>
    <mergeCell ref="A30:F30"/>
    <mergeCell ref="C22:T22"/>
    <mergeCell ref="A23:A24"/>
    <mergeCell ref="B23:B24"/>
    <mergeCell ref="C23:C24"/>
    <mergeCell ref="D23:D24"/>
    <mergeCell ref="E23:E24"/>
    <mergeCell ref="F23:F24"/>
    <mergeCell ref="T23:T24"/>
    <mergeCell ref="C19:T19"/>
    <mergeCell ref="A20:A21"/>
    <mergeCell ref="B20:B21"/>
    <mergeCell ref="C20:C21"/>
    <mergeCell ref="D20:D21"/>
    <mergeCell ref="E20:E21"/>
    <mergeCell ref="F20:F21"/>
    <mergeCell ref="T20:T21"/>
    <mergeCell ref="B15:T15"/>
    <mergeCell ref="C16:T16"/>
    <mergeCell ref="A17:A18"/>
    <mergeCell ref="B17:B18"/>
    <mergeCell ref="C17:C18"/>
    <mergeCell ref="D17:D18"/>
    <mergeCell ref="E17:E18"/>
    <mergeCell ref="F17:F18"/>
    <mergeCell ref="T17:T18"/>
    <mergeCell ref="B11:T11"/>
    <mergeCell ref="C12:T12"/>
    <mergeCell ref="A13:A14"/>
    <mergeCell ref="B13:B14"/>
    <mergeCell ref="C13:C14"/>
    <mergeCell ref="D13:D14"/>
    <mergeCell ref="E13:E14"/>
    <mergeCell ref="F13:F14"/>
    <mergeCell ref="T13:T14"/>
    <mergeCell ref="F8:F10"/>
    <mergeCell ref="T8:T10"/>
    <mergeCell ref="O9:O10"/>
    <mergeCell ref="P9:P10"/>
    <mergeCell ref="Q9:Q10"/>
    <mergeCell ref="R9:R10"/>
    <mergeCell ref="S9:S10"/>
    <mergeCell ref="T2:T4"/>
    <mergeCell ref="H3:H4"/>
    <mergeCell ref="I3:K3"/>
    <mergeCell ref="Q3:S3"/>
    <mergeCell ref="C7:T7"/>
    <mergeCell ref="G2:G4"/>
    <mergeCell ref="H2:K2"/>
    <mergeCell ref="L2:L4"/>
    <mergeCell ref="M2:M4"/>
    <mergeCell ref="N2:N4"/>
    <mergeCell ref="O2:S2"/>
    <mergeCell ref="F2:F4"/>
    <mergeCell ref="A8:A10"/>
    <mergeCell ref="B8:B10"/>
    <mergeCell ref="C8:C10"/>
    <mergeCell ref="D8:D10"/>
    <mergeCell ref="E8:E10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BBE57-9C61-4AF1-87F0-BAED5D13E5C5}">
  <dimension ref="A2:T220"/>
  <sheetViews>
    <sheetView topLeftCell="A24" workbookViewId="0">
      <selection activeCell="Q59" sqref="Q59:Q60"/>
    </sheetView>
  </sheetViews>
  <sheetFormatPr defaultColWidth="9.140625" defaultRowHeight="15" outlineLevelCol="1" x14ac:dyDescent="0.25"/>
  <cols>
    <col min="1" max="2" width="5.5703125" style="54" customWidth="1"/>
    <col min="3" max="3" width="5.140625" style="54" customWidth="1"/>
    <col min="4" max="4" width="35.42578125" style="54" customWidth="1"/>
    <col min="5" max="5" width="9.140625" style="54"/>
    <col min="6" max="6" width="19.42578125" style="54" customWidth="1"/>
    <col min="7" max="8" width="9.140625" style="54" customWidth="1" outlineLevel="1"/>
    <col min="9" max="11" width="9.140625" style="54" hidden="1" customWidth="1" outlineLevel="1"/>
    <col min="12" max="14" width="9.140625" style="54" customWidth="1" outlineLevel="1"/>
    <col min="15" max="15" width="36.28515625" style="54" customWidth="1"/>
    <col min="16" max="16" width="8.5703125" style="54" customWidth="1"/>
    <col min="17" max="17" width="10" style="54" customWidth="1"/>
    <col min="18" max="18" width="10.5703125" style="54" customWidth="1"/>
    <col min="19" max="19" width="11.5703125" style="54" customWidth="1"/>
    <col min="20" max="20" width="18.28515625" style="54" customWidth="1"/>
    <col min="21" max="16384" width="9.140625" style="54"/>
  </cols>
  <sheetData>
    <row r="2" spans="1:20" x14ac:dyDescent="0.25">
      <c r="A2" s="756" t="s">
        <v>13</v>
      </c>
      <c r="B2" s="756" t="s">
        <v>14</v>
      </c>
      <c r="C2" s="757" t="s">
        <v>15</v>
      </c>
      <c r="D2" s="742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750" t="s">
        <v>23</v>
      </c>
      <c r="O2" s="475" t="s">
        <v>24</v>
      </c>
      <c r="P2" s="475"/>
      <c r="Q2" s="475"/>
      <c r="R2" s="475"/>
      <c r="S2" s="475"/>
      <c r="T2" s="747" t="s">
        <v>25</v>
      </c>
    </row>
    <row r="3" spans="1:20" x14ac:dyDescent="0.25">
      <c r="A3" s="756"/>
      <c r="B3" s="756"/>
      <c r="C3" s="757"/>
      <c r="D3" s="758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751"/>
      <c r="O3" s="71"/>
      <c r="P3" s="67"/>
      <c r="Q3" s="475" t="s">
        <v>27</v>
      </c>
      <c r="R3" s="475"/>
      <c r="S3" s="475"/>
      <c r="T3" s="748"/>
    </row>
    <row r="4" spans="1:20" ht="45.6" customHeight="1" x14ac:dyDescent="0.25">
      <c r="A4" s="756"/>
      <c r="B4" s="756"/>
      <c r="C4" s="757"/>
      <c r="D4" s="743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75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749"/>
    </row>
    <row r="5" spans="1:20" x14ac:dyDescent="0.25">
      <c r="A5" s="240" t="s">
        <v>441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2"/>
    </row>
    <row r="6" spans="1:20" x14ac:dyDescent="0.25">
      <c r="A6" s="243" t="s">
        <v>36</v>
      </c>
      <c r="B6" s="28" t="s">
        <v>442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</row>
    <row r="7" spans="1:20" x14ac:dyDescent="0.25">
      <c r="A7" s="109" t="s">
        <v>36</v>
      </c>
      <c r="B7" s="110" t="s">
        <v>36</v>
      </c>
      <c r="C7" s="244" t="s">
        <v>443</v>
      </c>
      <c r="D7" s="245"/>
      <c r="E7" s="245"/>
      <c r="F7" s="245"/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5"/>
      <c r="S7" s="245"/>
      <c r="T7" s="246"/>
    </row>
    <row r="8" spans="1:20" x14ac:dyDescent="0.25">
      <c r="A8" s="109" t="s">
        <v>36</v>
      </c>
      <c r="B8" s="110" t="s">
        <v>55</v>
      </c>
      <c r="C8" s="244" t="s">
        <v>444</v>
      </c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6"/>
    </row>
    <row r="9" spans="1:20" x14ac:dyDescent="0.25">
      <c r="A9" s="727" t="s">
        <v>36</v>
      </c>
      <c r="B9" s="729" t="s">
        <v>55</v>
      </c>
      <c r="C9" s="731" t="s">
        <v>36</v>
      </c>
      <c r="D9" s="742" t="s">
        <v>445</v>
      </c>
      <c r="E9" s="735" t="s">
        <v>107</v>
      </c>
      <c r="F9" s="397">
        <v>188718713</v>
      </c>
      <c r="G9" s="247" t="s">
        <v>40</v>
      </c>
      <c r="H9" s="248">
        <v>10</v>
      </c>
      <c r="I9" s="248"/>
      <c r="J9" s="248"/>
      <c r="K9" s="248"/>
      <c r="L9" s="7">
        <f>+(H9*0.05)+H9</f>
        <v>10.5</v>
      </c>
      <c r="M9" s="7">
        <f>L9*1.05</f>
        <v>11.025</v>
      </c>
      <c r="N9" s="249">
        <f>+H9+L9+M9</f>
        <v>31.524999999999999</v>
      </c>
      <c r="O9" s="761" t="s">
        <v>446</v>
      </c>
      <c r="P9" s="745" t="s">
        <v>62</v>
      </c>
      <c r="Q9" s="745">
        <v>0</v>
      </c>
      <c r="R9" s="745">
        <v>0</v>
      </c>
      <c r="S9" s="745">
        <v>0</v>
      </c>
      <c r="T9" s="401" t="s">
        <v>126</v>
      </c>
    </row>
    <row r="10" spans="1:20" x14ac:dyDescent="0.25">
      <c r="A10" s="739"/>
      <c r="B10" s="740"/>
      <c r="C10" s="741"/>
      <c r="D10" s="743"/>
      <c r="E10" s="744"/>
      <c r="F10" s="398"/>
      <c r="G10" s="250" t="s">
        <v>23</v>
      </c>
      <c r="H10" s="251">
        <f>+H9</f>
        <v>10</v>
      </c>
      <c r="I10" s="251">
        <f t="shared" ref="I10:M10" si="0">+I9</f>
        <v>0</v>
      </c>
      <c r="J10" s="251">
        <f t="shared" si="0"/>
        <v>0</v>
      </c>
      <c r="K10" s="251">
        <f t="shared" si="0"/>
        <v>0</v>
      </c>
      <c r="L10" s="251">
        <f t="shared" si="0"/>
        <v>10.5</v>
      </c>
      <c r="M10" s="251">
        <f t="shared" si="0"/>
        <v>11.025</v>
      </c>
      <c r="N10" s="252">
        <f>SUM(H10,L10,M10)</f>
        <v>31.524999999999999</v>
      </c>
      <c r="O10" s="762"/>
      <c r="P10" s="746"/>
      <c r="Q10" s="746"/>
      <c r="R10" s="746"/>
      <c r="S10" s="746"/>
      <c r="T10" s="402"/>
    </row>
    <row r="11" spans="1:20" x14ac:dyDescent="0.25">
      <c r="A11" s="254" t="s">
        <v>46</v>
      </c>
      <c r="B11" s="548" t="s">
        <v>447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49"/>
      <c r="T11" s="550"/>
    </row>
    <row r="12" spans="1:20" x14ac:dyDescent="0.25">
      <c r="A12" s="109" t="s">
        <v>46</v>
      </c>
      <c r="B12" s="110" t="s">
        <v>36</v>
      </c>
      <c r="C12" s="724" t="s">
        <v>448</v>
      </c>
      <c r="D12" s="725"/>
      <c r="E12" s="725"/>
      <c r="F12" s="725"/>
      <c r="G12" s="725"/>
      <c r="H12" s="725"/>
      <c r="I12" s="725"/>
      <c r="J12" s="725"/>
      <c r="K12" s="725"/>
      <c r="L12" s="725"/>
      <c r="M12" s="725"/>
      <c r="N12" s="725"/>
      <c r="O12" s="725"/>
      <c r="P12" s="725"/>
      <c r="Q12" s="725"/>
      <c r="R12" s="725"/>
      <c r="S12" s="725"/>
      <c r="T12" s="726"/>
    </row>
    <row r="13" spans="1:20" ht="26.1" customHeight="1" x14ac:dyDescent="0.25">
      <c r="A13" s="727" t="s">
        <v>46</v>
      </c>
      <c r="B13" s="729" t="s">
        <v>36</v>
      </c>
      <c r="C13" s="731" t="s">
        <v>36</v>
      </c>
      <c r="D13" s="733" t="s">
        <v>449</v>
      </c>
      <c r="E13" s="735" t="s">
        <v>107</v>
      </c>
      <c r="F13" s="397">
        <v>188718713</v>
      </c>
      <c r="G13" s="257" t="s">
        <v>40</v>
      </c>
      <c r="H13" s="248">
        <v>3147</v>
      </c>
      <c r="I13" s="248"/>
      <c r="J13" s="248"/>
      <c r="K13" s="248"/>
      <c r="L13" s="7">
        <f>+(H13*0.05)+H13</f>
        <v>3304.35</v>
      </c>
      <c r="M13" s="7">
        <f>L13*1.05</f>
        <v>3469.5675000000001</v>
      </c>
      <c r="N13" s="249">
        <f>H13+L13+M13</f>
        <v>9920.9174999999996</v>
      </c>
      <c r="O13" s="759" t="s">
        <v>450</v>
      </c>
      <c r="P13" s="745" t="s">
        <v>62</v>
      </c>
      <c r="Q13" s="745">
        <v>6</v>
      </c>
      <c r="R13" s="745">
        <v>7</v>
      </c>
      <c r="S13" s="745">
        <v>7</v>
      </c>
      <c r="T13" s="737" t="s">
        <v>378</v>
      </c>
    </row>
    <row r="14" spans="1:20" x14ac:dyDescent="0.25">
      <c r="A14" s="728"/>
      <c r="B14" s="730"/>
      <c r="C14" s="732"/>
      <c r="D14" s="734"/>
      <c r="E14" s="736"/>
      <c r="F14" s="457"/>
      <c r="G14" s="258" t="s">
        <v>23</v>
      </c>
      <c r="H14" s="251">
        <f t="shared" ref="H14:M14" si="1">+H13</f>
        <v>3147</v>
      </c>
      <c r="I14" s="251">
        <f t="shared" si="1"/>
        <v>0</v>
      </c>
      <c r="J14" s="251">
        <f t="shared" si="1"/>
        <v>0</v>
      </c>
      <c r="K14" s="251">
        <f t="shared" si="1"/>
        <v>0</v>
      </c>
      <c r="L14" s="251">
        <f t="shared" si="1"/>
        <v>3304.35</v>
      </c>
      <c r="M14" s="251">
        <f t="shared" si="1"/>
        <v>3469.5675000000001</v>
      </c>
      <c r="N14" s="252">
        <f>+H14+L14+M14</f>
        <v>9920.9174999999996</v>
      </c>
      <c r="O14" s="760"/>
      <c r="P14" s="746"/>
      <c r="Q14" s="746"/>
      <c r="R14" s="746"/>
      <c r="S14" s="746"/>
      <c r="T14" s="738"/>
    </row>
    <row r="15" spans="1:20" x14ac:dyDescent="0.25">
      <c r="A15" s="727" t="s">
        <v>46</v>
      </c>
      <c r="B15" s="729" t="s">
        <v>36</v>
      </c>
      <c r="C15" s="731" t="s">
        <v>66</v>
      </c>
      <c r="D15" s="733" t="s">
        <v>451</v>
      </c>
      <c r="E15" s="735" t="s">
        <v>107</v>
      </c>
      <c r="F15" s="397">
        <v>188718713</v>
      </c>
      <c r="G15" s="257" t="s">
        <v>40</v>
      </c>
      <c r="H15" s="248">
        <v>1046.7</v>
      </c>
      <c r="I15" s="248"/>
      <c r="J15" s="248"/>
      <c r="K15" s="259"/>
      <c r="L15" s="7">
        <f>+(H15*0.05)+H15</f>
        <v>1099.0350000000001</v>
      </c>
      <c r="M15" s="7">
        <f>L15*1.05</f>
        <v>1153.98675</v>
      </c>
      <c r="N15" s="249">
        <f>H15+L15+M15</f>
        <v>3299.7217500000002</v>
      </c>
      <c r="O15" s="754" t="s">
        <v>452</v>
      </c>
      <c r="P15" s="745" t="s">
        <v>73</v>
      </c>
      <c r="Q15" s="745">
        <v>0</v>
      </c>
      <c r="R15" s="745">
        <v>0</v>
      </c>
      <c r="S15" s="745">
        <v>0</v>
      </c>
      <c r="T15" s="737" t="s">
        <v>378</v>
      </c>
    </row>
    <row r="16" spans="1:20" x14ac:dyDescent="0.25">
      <c r="A16" s="728"/>
      <c r="B16" s="730"/>
      <c r="C16" s="732"/>
      <c r="D16" s="734"/>
      <c r="E16" s="736"/>
      <c r="F16" s="457"/>
      <c r="G16" s="258" t="s">
        <v>23</v>
      </c>
      <c r="H16" s="251">
        <f t="shared" ref="H16:M16" si="2">+H15</f>
        <v>1046.7</v>
      </c>
      <c r="I16" s="251">
        <f t="shared" si="2"/>
        <v>0</v>
      </c>
      <c r="J16" s="251">
        <f t="shared" si="2"/>
        <v>0</v>
      </c>
      <c r="K16" s="251">
        <f t="shared" si="2"/>
        <v>0</v>
      </c>
      <c r="L16" s="251">
        <f t="shared" si="2"/>
        <v>1099.0350000000001</v>
      </c>
      <c r="M16" s="251">
        <f t="shared" si="2"/>
        <v>1153.98675</v>
      </c>
      <c r="N16" s="252">
        <f>H16+L16+M16</f>
        <v>3299.7217500000002</v>
      </c>
      <c r="O16" s="755"/>
      <c r="P16" s="746"/>
      <c r="Q16" s="746"/>
      <c r="R16" s="746"/>
      <c r="S16" s="746"/>
      <c r="T16" s="738"/>
    </row>
    <row r="17" spans="1:20" x14ac:dyDescent="0.25">
      <c r="A17" s="728"/>
      <c r="B17" s="730"/>
      <c r="C17" s="732"/>
      <c r="D17" s="734"/>
      <c r="E17" s="736"/>
      <c r="F17" s="457"/>
      <c r="G17" s="257" t="s">
        <v>40</v>
      </c>
      <c r="H17" s="248"/>
      <c r="I17" s="260"/>
      <c r="J17" s="248"/>
      <c r="K17" s="248"/>
      <c r="L17" s="7">
        <f>+(H17*0.05)+H17</f>
        <v>0</v>
      </c>
      <c r="M17" s="7">
        <f>+H17*0.1+H17</f>
        <v>0</v>
      </c>
      <c r="N17" s="249">
        <f>+H17+L17+M17</f>
        <v>0</v>
      </c>
      <c r="O17" s="754" t="s">
        <v>453</v>
      </c>
      <c r="P17" s="745" t="s">
        <v>62</v>
      </c>
      <c r="Q17" s="745">
        <v>0</v>
      </c>
      <c r="R17" s="745">
        <v>0</v>
      </c>
      <c r="S17" s="745">
        <v>0</v>
      </c>
      <c r="T17" s="738"/>
    </row>
    <row r="18" spans="1:20" x14ac:dyDescent="0.25">
      <c r="A18" s="739"/>
      <c r="B18" s="740"/>
      <c r="C18" s="741"/>
      <c r="D18" s="777"/>
      <c r="E18" s="744"/>
      <c r="F18" s="398"/>
      <c r="G18" s="258" t="s">
        <v>23</v>
      </c>
      <c r="H18" s="251">
        <f>+H17</f>
        <v>0</v>
      </c>
      <c r="I18" s="251">
        <f t="shared" ref="I18:N18" si="3">+I17</f>
        <v>0</v>
      </c>
      <c r="J18" s="251">
        <f t="shared" si="3"/>
        <v>0</v>
      </c>
      <c r="K18" s="251">
        <f t="shared" si="3"/>
        <v>0</v>
      </c>
      <c r="L18" s="251">
        <f t="shared" si="3"/>
        <v>0</v>
      </c>
      <c r="M18" s="251">
        <f t="shared" si="3"/>
        <v>0</v>
      </c>
      <c r="N18" s="251">
        <f t="shared" si="3"/>
        <v>0</v>
      </c>
      <c r="O18" s="755"/>
      <c r="P18" s="746"/>
      <c r="Q18" s="746"/>
      <c r="R18" s="746"/>
      <c r="S18" s="746"/>
      <c r="T18" s="753"/>
    </row>
    <row r="19" spans="1:20" x14ac:dyDescent="0.25">
      <c r="A19" s="763" t="s">
        <v>46</v>
      </c>
      <c r="B19" s="766" t="s">
        <v>36</v>
      </c>
      <c r="C19" s="769" t="s">
        <v>80</v>
      </c>
      <c r="D19" s="772" t="s">
        <v>454</v>
      </c>
      <c r="E19" s="735" t="s">
        <v>107</v>
      </c>
      <c r="F19" s="397">
        <v>188718713</v>
      </c>
      <c r="G19" s="261" t="s">
        <v>141</v>
      </c>
      <c r="H19" s="262"/>
      <c r="I19" s="262"/>
      <c r="J19" s="262"/>
      <c r="K19" s="262"/>
      <c r="L19" s="7">
        <v>400</v>
      </c>
      <c r="M19" s="7">
        <v>0</v>
      </c>
      <c r="N19" s="263">
        <f>+H19+L19+M19</f>
        <v>400</v>
      </c>
      <c r="O19" s="761" t="s">
        <v>455</v>
      </c>
      <c r="P19" s="745" t="s">
        <v>62</v>
      </c>
      <c r="Q19" s="745">
        <v>1</v>
      </c>
      <c r="R19" s="745">
        <v>0</v>
      </c>
      <c r="S19" s="745">
        <v>0</v>
      </c>
      <c r="T19" s="737" t="s">
        <v>378</v>
      </c>
    </row>
    <row r="20" spans="1:20" x14ac:dyDescent="0.25">
      <c r="A20" s="764"/>
      <c r="B20" s="767"/>
      <c r="C20" s="770"/>
      <c r="D20" s="773"/>
      <c r="E20" s="736"/>
      <c r="F20" s="457"/>
      <c r="G20" s="261" t="s">
        <v>149</v>
      </c>
      <c r="H20" s="262"/>
      <c r="I20" s="262"/>
      <c r="J20" s="262"/>
      <c r="K20" s="262"/>
      <c r="L20" s="7">
        <v>38</v>
      </c>
      <c r="M20" s="7">
        <v>0</v>
      </c>
      <c r="N20" s="263">
        <f>+H20+L20+M20</f>
        <v>38</v>
      </c>
      <c r="O20" s="775"/>
      <c r="P20" s="776"/>
      <c r="Q20" s="776"/>
      <c r="R20" s="776"/>
      <c r="S20" s="776"/>
      <c r="T20" s="738"/>
    </row>
    <row r="21" spans="1:20" x14ac:dyDescent="0.25">
      <c r="A21" s="765"/>
      <c r="B21" s="768"/>
      <c r="C21" s="771"/>
      <c r="D21" s="774"/>
      <c r="E21" s="744"/>
      <c r="F21" s="398"/>
      <c r="G21" s="264" t="s">
        <v>23</v>
      </c>
      <c r="H21" s="265">
        <f t="shared" ref="H21:N21" si="4">+H19+H20</f>
        <v>0</v>
      </c>
      <c r="I21" s="265">
        <f t="shared" si="4"/>
        <v>0</v>
      </c>
      <c r="J21" s="265">
        <f t="shared" si="4"/>
        <v>0</v>
      </c>
      <c r="K21" s="265">
        <f t="shared" si="4"/>
        <v>0</v>
      </c>
      <c r="L21" s="266">
        <f t="shared" si="4"/>
        <v>438</v>
      </c>
      <c r="M21" s="266">
        <f t="shared" si="4"/>
        <v>0</v>
      </c>
      <c r="N21" s="265">
        <f t="shared" si="4"/>
        <v>438</v>
      </c>
      <c r="O21" s="762"/>
      <c r="P21" s="746"/>
      <c r="Q21" s="746"/>
      <c r="R21" s="746"/>
      <c r="S21" s="746"/>
      <c r="T21" s="753"/>
    </row>
    <row r="22" spans="1:20" x14ac:dyDescent="0.25">
      <c r="A22" s="109" t="s">
        <v>46</v>
      </c>
      <c r="B22" s="110" t="s">
        <v>46</v>
      </c>
      <c r="C22" s="724" t="s">
        <v>456</v>
      </c>
      <c r="D22" s="725"/>
      <c r="E22" s="725"/>
      <c r="F22" s="725"/>
      <c r="G22" s="725"/>
      <c r="H22" s="725"/>
      <c r="I22" s="725"/>
      <c r="J22" s="725"/>
      <c r="K22" s="725"/>
      <c r="L22" s="725"/>
      <c r="M22" s="725"/>
      <c r="N22" s="725"/>
      <c r="O22" s="725"/>
      <c r="P22" s="725"/>
      <c r="Q22" s="725"/>
      <c r="R22" s="725"/>
      <c r="S22" s="725"/>
      <c r="T22" s="726"/>
    </row>
    <row r="23" spans="1:20" ht="25.5" x14ac:dyDescent="0.25">
      <c r="A23" s="727" t="s">
        <v>46</v>
      </c>
      <c r="B23" s="729" t="s">
        <v>46</v>
      </c>
      <c r="C23" s="731" t="s">
        <v>59</v>
      </c>
      <c r="D23" s="742" t="s">
        <v>457</v>
      </c>
      <c r="E23" s="735" t="s">
        <v>107</v>
      </c>
      <c r="F23" s="397">
        <v>188718713</v>
      </c>
      <c r="G23" s="261" t="s">
        <v>141</v>
      </c>
      <c r="H23" s="262"/>
      <c r="I23" s="267"/>
      <c r="J23" s="262"/>
      <c r="K23" s="262"/>
      <c r="L23" s="7">
        <f>+(H23*0.05)+H23</f>
        <v>0</v>
      </c>
      <c r="M23" s="7">
        <f>+H23*0.1+H23</f>
        <v>0</v>
      </c>
      <c r="N23" s="263">
        <f>+H23+L23+M23</f>
        <v>0</v>
      </c>
      <c r="O23" s="268" t="s">
        <v>458</v>
      </c>
      <c r="P23" s="269" t="s">
        <v>432</v>
      </c>
      <c r="Q23" s="270">
        <v>3</v>
      </c>
      <c r="R23" s="270">
        <v>4</v>
      </c>
      <c r="S23" s="270">
        <v>3</v>
      </c>
      <c r="T23" s="737" t="s">
        <v>378</v>
      </c>
    </row>
    <row r="24" spans="1:20" ht="25.5" x14ac:dyDescent="0.25">
      <c r="A24" s="728"/>
      <c r="B24" s="730"/>
      <c r="C24" s="732"/>
      <c r="D24" s="758"/>
      <c r="E24" s="736"/>
      <c r="F24" s="457"/>
      <c r="G24" s="261" t="s">
        <v>40</v>
      </c>
      <c r="H24" s="262">
        <v>365.5</v>
      </c>
      <c r="I24" s="267"/>
      <c r="J24" s="262"/>
      <c r="K24" s="262"/>
      <c r="L24" s="7">
        <f>+(H24*0.05)+H24</f>
        <v>383.77499999999998</v>
      </c>
      <c r="M24" s="7">
        <f>L24*1.05</f>
        <v>402.96375</v>
      </c>
      <c r="N24" s="263">
        <f>+H24+L24+M24</f>
        <v>1152.23875</v>
      </c>
      <c r="O24" s="268" t="s">
        <v>459</v>
      </c>
      <c r="P24" s="269" t="s">
        <v>432</v>
      </c>
      <c r="Q24" s="270">
        <v>2</v>
      </c>
      <c r="R24" s="270">
        <v>2</v>
      </c>
      <c r="S24" s="270">
        <v>2</v>
      </c>
      <c r="T24" s="738"/>
    </row>
    <row r="25" spans="1:20" x14ac:dyDescent="0.25">
      <c r="A25" s="728"/>
      <c r="B25" s="730"/>
      <c r="C25" s="732"/>
      <c r="D25" s="758"/>
      <c r="E25" s="736"/>
      <c r="F25" s="457"/>
      <c r="G25" s="261" t="s">
        <v>149</v>
      </c>
      <c r="H25" s="262"/>
      <c r="I25" s="267"/>
      <c r="J25" s="262"/>
      <c r="K25" s="262"/>
      <c r="L25" s="7">
        <f>+(H25*0.05)+H25</f>
        <v>0</v>
      </c>
      <c r="M25" s="7">
        <f>+H25*0.1+H25</f>
        <v>0</v>
      </c>
      <c r="N25" s="263">
        <f>+H25+L25+M25</f>
        <v>0</v>
      </c>
      <c r="O25" s="761" t="s">
        <v>460</v>
      </c>
      <c r="P25" s="745" t="s">
        <v>62</v>
      </c>
      <c r="Q25" s="778">
        <v>0</v>
      </c>
      <c r="R25" s="778">
        <v>1</v>
      </c>
      <c r="S25" s="778">
        <v>1</v>
      </c>
      <c r="T25" s="738"/>
    </row>
    <row r="26" spans="1:20" x14ac:dyDescent="0.25">
      <c r="A26" s="739"/>
      <c r="B26" s="740"/>
      <c r="C26" s="741"/>
      <c r="D26" s="743"/>
      <c r="E26" s="744"/>
      <c r="F26" s="398"/>
      <c r="G26" s="264" t="s">
        <v>23</v>
      </c>
      <c r="H26" s="265">
        <f>+H23+H25+H24</f>
        <v>365.5</v>
      </c>
      <c r="I26" s="265">
        <f t="shared" ref="I26:M26" si="5">+I23+I25+I24</f>
        <v>0</v>
      </c>
      <c r="J26" s="265">
        <f t="shared" si="5"/>
        <v>0</v>
      </c>
      <c r="K26" s="265">
        <f t="shared" si="5"/>
        <v>0</v>
      </c>
      <c r="L26" s="265">
        <f t="shared" si="5"/>
        <v>383.77499999999998</v>
      </c>
      <c r="M26" s="265">
        <f t="shared" si="5"/>
        <v>402.96375</v>
      </c>
      <c r="N26" s="265">
        <f>+N23+N25+N24</f>
        <v>1152.23875</v>
      </c>
      <c r="O26" s="762"/>
      <c r="P26" s="746"/>
      <c r="Q26" s="779"/>
      <c r="R26" s="779"/>
      <c r="S26" s="779"/>
      <c r="T26" s="753"/>
    </row>
    <row r="27" spans="1:20" x14ac:dyDescent="0.25">
      <c r="A27" s="727" t="s">
        <v>46</v>
      </c>
      <c r="B27" s="729" t="s">
        <v>46</v>
      </c>
      <c r="C27" s="780" t="s">
        <v>66</v>
      </c>
      <c r="D27" s="782" t="s">
        <v>461</v>
      </c>
      <c r="E27" s="430" t="s">
        <v>107</v>
      </c>
      <c r="F27" s="397">
        <v>188718713</v>
      </c>
      <c r="G27" s="41" t="s">
        <v>40</v>
      </c>
      <c r="H27" s="271"/>
      <c r="I27" s="271"/>
      <c r="J27" s="271"/>
      <c r="K27" s="272"/>
      <c r="L27" s="2">
        <f>+(H27*0.05)+H27</f>
        <v>0</v>
      </c>
      <c r="M27" s="2">
        <f>+H27*0.1+H27</f>
        <v>0</v>
      </c>
      <c r="N27" s="263">
        <f>SUM(H27+L27+M27)</f>
        <v>0</v>
      </c>
      <c r="O27" s="273" t="s">
        <v>462</v>
      </c>
      <c r="P27" s="269" t="s">
        <v>432</v>
      </c>
      <c r="Q27" s="270">
        <v>3.181</v>
      </c>
      <c r="R27" s="270">
        <v>1.5</v>
      </c>
      <c r="S27" s="270">
        <v>2</v>
      </c>
      <c r="T27" s="737" t="s">
        <v>463</v>
      </c>
    </row>
    <row r="28" spans="1:20" ht="29.25" customHeight="1" x14ac:dyDescent="0.25">
      <c r="A28" s="739"/>
      <c r="B28" s="740"/>
      <c r="C28" s="781"/>
      <c r="D28" s="782"/>
      <c r="E28" s="430"/>
      <c r="F28" s="457"/>
      <c r="G28" s="44" t="s">
        <v>23</v>
      </c>
      <c r="H28" s="274">
        <f>+H27</f>
        <v>0</v>
      </c>
      <c r="I28" s="274">
        <f t="shared" ref="I28:M28" si="6">+I27</f>
        <v>0</v>
      </c>
      <c r="J28" s="274">
        <f t="shared" si="6"/>
        <v>0</v>
      </c>
      <c r="K28" s="274">
        <f t="shared" si="6"/>
        <v>0</v>
      </c>
      <c r="L28" s="274">
        <f t="shared" si="6"/>
        <v>0</v>
      </c>
      <c r="M28" s="274">
        <f t="shared" si="6"/>
        <v>0</v>
      </c>
      <c r="N28" s="275">
        <f>SUM(H28+L28+M28)</f>
        <v>0</v>
      </c>
      <c r="O28" s="273" t="s">
        <v>464</v>
      </c>
      <c r="P28" s="269" t="s">
        <v>432</v>
      </c>
      <c r="Q28" s="270">
        <v>3.4169999999999998</v>
      </c>
      <c r="R28" s="270">
        <v>2</v>
      </c>
      <c r="S28" s="270">
        <v>2</v>
      </c>
      <c r="T28" s="753"/>
    </row>
    <row r="29" spans="1:20" x14ac:dyDescent="0.25">
      <c r="A29" s="727" t="s">
        <v>46</v>
      </c>
      <c r="B29" s="729" t="s">
        <v>46</v>
      </c>
      <c r="C29" s="780" t="s">
        <v>114</v>
      </c>
      <c r="D29" s="782" t="s">
        <v>465</v>
      </c>
      <c r="E29" s="430" t="s">
        <v>107</v>
      </c>
      <c r="F29" s="397">
        <v>188718713</v>
      </c>
      <c r="G29" s="41" t="s">
        <v>40</v>
      </c>
      <c r="H29" s="271"/>
      <c r="I29" s="271"/>
      <c r="J29" s="271"/>
      <c r="K29" s="272"/>
      <c r="L29" s="2">
        <f>+(H29*0.05)+H29</f>
        <v>0</v>
      </c>
      <c r="M29" s="2">
        <f>+H29*0.1+H29</f>
        <v>0</v>
      </c>
      <c r="N29" s="263">
        <f>SUM(H29+L29+M29)</f>
        <v>0</v>
      </c>
      <c r="O29" s="273" t="s">
        <v>466</v>
      </c>
      <c r="P29" s="269" t="s">
        <v>432</v>
      </c>
      <c r="Q29" s="270">
        <v>5.0650000000000004</v>
      </c>
      <c r="R29" s="270">
        <v>1</v>
      </c>
      <c r="S29" s="270">
        <v>2</v>
      </c>
      <c r="T29" s="737" t="s">
        <v>467</v>
      </c>
    </row>
    <row r="30" spans="1:20" ht="29.25" customHeight="1" x14ac:dyDescent="0.25">
      <c r="A30" s="739"/>
      <c r="B30" s="740"/>
      <c r="C30" s="781"/>
      <c r="D30" s="782"/>
      <c r="E30" s="430"/>
      <c r="F30" s="457"/>
      <c r="G30" s="44" t="s">
        <v>23</v>
      </c>
      <c r="H30" s="274">
        <f>+H29</f>
        <v>0</v>
      </c>
      <c r="I30" s="274">
        <f t="shared" ref="I30:M30" si="7">+I29</f>
        <v>0</v>
      </c>
      <c r="J30" s="274">
        <f t="shared" si="7"/>
        <v>0</v>
      </c>
      <c r="K30" s="274">
        <f t="shared" si="7"/>
        <v>0</v>
      </c>
      <c r="L30" s="274">
        <f t="shared" si="7"/>
        <v>0</v>
      </c>
      <c r="M30" s="274">
        <f t="shared" si="7"/>
        <v>0</v>
      </c>
      <c r="N30" s="275">
        <f>SUM(H30+L30+M30)</f>
        <v>0</v>
      </c>
      <c r="O30" s="273" t="s">
        <v>464</v>
      </c>
      <c r="P30" s="269" t="s">
        <v>432</v>
      </c>
      <c r="Q30" s="270">
        <v>2.2360000000000002</v>
      </c>
      <c r="R30" s="270">
        <v>1.5</v>
      </c>
      <c r="S30" s="270">
        <v>2</v>
      </c>
      <c r="T30" s="753"/>
    </row>
    <row r="31" spans="1:20" x14ac:dyDescent="0.25">
      <c r="A31" s="109" t="s">
        <v>46</v>
      </c>
      <c r="B31" s="110" t="s">
        <v>50</v>
      </c>
      <c r="C31" s="276" t="s">
        <v>468</v>
      </c>
      <c r="D31" s="277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6"/>
    </row>
    <row r="32" spans="1:20" x14ac:dyDescent="0.25">
      <c r="A32" s="727" t="s">
        <v>46</v>
      </c>
      <c r="B32" s="729" t="s">
        <v>50</v>
      </c>
      <c r="C32" s="783" t="s">
        <v>36</v>
      </c>
      <c r="D32" s="785" t="s">
        <v>469</v>
      </c>
      <c r="E32" s="735" t="s">
        <v>107</v>
      </c>
      <c r="F32" s="397">
        <v>188718713</v>
      </c>
      <c r="G32" s="257" t="s">
        <v>40</v>
      </c>
      <c r="H32" s="248">
        <v>900</v>
      </c>
      <c r="I32" s="248"/>
      <c r="J32" s="248"/>
      <c r="K32" s="248"/>
      <c r="L32" s="7">
        <f>+(H32*0.05)+H32</f>
        <v>945</v>
      </c>
      <c r="M32" s="7">
        <f>L32*1.05</f>
        <v>992.25</v>
      </c>
      <c r="N32" s="249">
        <f>H32+L32+M32</f>
        <v>2837.25</v>
      </c>
      <c r="O32" s="754" t="s">
        <v>470</v>
      </c>
      <c r="P32" s="745" t="s">
        <v>471</v>
      </c>
      <c r="Q32" s="745">
        <v>6000</v>
      </c>
      <c r="R32" s="745">
        <v>6000</v>
      </c>
      <c r="S32" s="745">
        <v>6000</v>
      </c>
      <c r="T32" s="737" t="s">
        <v>378</v>
      </c>
    </row>
    <row r="33" spans="1:20" x14ac:dyDescent="0.25">
      <c r="A33" s="728"/>
      <c r="B33" s="730"/>
      <c r="C33" s="784"/>
      <c r="D33" s="786"/>
      <c r="E33" s="736"/>
      <c r="F33" s="457"/>
      <c r="G33" s="258" t="s">
        <v>23</v>
      </c>
      <c r="H33" s="251">
        <f t="shared" ref="H33:M33" si="8">+H32</f>
        <v>900</v>
      </c>
      <c r="I33" s="251">
        <f t="shared" si="8"/>
        <v>0</v>
      </c>
      <c r="J33" s="251">
        <f t="shared" si="8"/>
        <v>0</v>
      </c>
      <c r="K33" s="251">
        <f t="shared" si="8"/>
        <v>0</v>
      </c>
      <c r="L33" s="251">
        <f t="shared" si="8"/>
        <v>945</v>
      </c>
      <c r="M33" s="251">
        <f t="shared" si="8"/>
        <v>992.25</v>
      </c>
      <c r="N33" s="252">
        <f>+H33+L33+M33</f>
        <v>2837.25</v>
      </c>
      <c r="O33" s="755"/>
      <c r="P33" s="746"/>
      <c r="Q33" s="746"/>
      <c r="R33" s="746"/>
      <c r="S33" s="746"/>
      <c r="T33" s="738"/>
    </row>
    <row r="34" spans="1:20" x14ac:dyDescent="0.25">
      <c r="A34" s="727" t="s">
        <v>46</v>
      </c>
      <c r="B34" s="729" t="s">
        <v>50</v>
      </c>
      <c r="C34" s="783" t="s">
        <v>46</v>
      </c>
      <c r="D34" s="742" t="s">
        <v>472</v>
      </c>
      <c r="E34" s="735" t="s">
        <v>107</v>
      </c>
      <c r="F34" s="397">
        <v>188718713</v>
      </c>
      <c r="G34" s="41" t="s">
        <v>40</v>
      </c>
      <c r="H34" s="271"/>
      <c r="I34" s="271"/>
      <c r="J34" s="271"/>
      <c r="K34" s="272"/>
      <c r="L34" s="2">
        <f>+(H34*0.05)+H34</f>
        <v>0</v>
      </c>
      <c r="M34" s="2">
        <f>+H34*0.1+H34</f>
        <v>0</v>
      </c>
      <c r="N34" s="263">
        <f>SUM(H34+L34+M34)</f>
        <v>0</v>
      </c>
      <c r="O34" s="273" t="s">
        <v>473</v>
      </c>
      <c r="P34" s="269" t="s">
        <v>62</v>
      </c>
      <c r="Q34" s="269">
        <v>5</v>
      </c>
      <c r="R34" s="269">
        <v>5</v>
      </c>
      <c r="S34" s="269">
        <v>5</v>
      </c>
      <c r="T34" s="737" t="s">
        <v>378</v>
      </c>
    </row>
    <row r="35" spans="1:20" ht="25.5" x14ac:dyDescent="0.25">
      <c r="A35" s="728"/>
      <c r="B35" s="730"/>
      <c r="C35" s="784"/>
      <c r="D35" s="758"/>
      <c r="E35" s="736"/>
      <c r="F35" s="457"/>
      <c r="G35" s="41"/>
      <c r="H35" s="271"/>
      <c r="I35" s="271"/>
      <c r="J35" s="271"/>
      <c r="K35" s="272"/>
      <c r="L35" s="2"/>
      <c r="M35" s="2"/>
      <c r="N35" s="263"/>
      <c r="O35" s="273" t="s">
        <v>474</v>
      </c>
      <c r="P35" s="269" t="s">
        <v>62</v>
      </c>
      <c r="Q35" s="269">
        <v>0</v>
      </c>
      <c r="R35" s="269">
        <v>2</v>
      </c>
      <c r="S35" s="269">
        <v>4</v>
      </c>
      <c r="T35" s="738"/>
    </row>
    <row r="36" spans="1:20" ht="25.5" x14ac:dyDescent="0.25">
      <c r="A36" s="728"/>
      <c r="B36" s="730"/>
      <c r="C36" s="784"/>
      <c r="D36" s="758"/>
      <c r="E36" s="736"/>
      <c r="F36" s="457"/>
      <c r="G36" s="41"/>
      <c r="H36" s="271"/>
      <c r="I36" s="271"/>
      <c r="J36" s="271"/>
      <c r="K36" s="272"/>
      <c r="L36" s="2"/>
      <c r="M36" s="2"/>
      <c r="N36" s="263"/>
      <c r="O36" s="273" t="s">
        <v>475</v>
      </c>
      <c r="P36" s="269" t="s">
        <v>62</v>
      </c>
      <c r="Q36" s="269">
        <v>0</v>
      </c>
      <c r="R36" s="269">
        <v>2</v>
      </c>
      <c r="S36" s="269">
        <v>4</v>
      </c>
      <c r="T36" s="738"/>
    </row>
    <row r="37" spans="1:20" ht="38.25" customHeight="1" x14ac:dyDescent="0.25">
      <c r="A37" s="728"/>
      <c r="B37" s="730"/>
      <c r="C37" s="784"/>
      <c r="D37" s="758"/>
      <c r="E37" s="736"/>
      <c r="F37" s="457"/>
      <c r="G37" s="41"/>
      <c r="H37" s="271"/>
      <c r="I37" s="271"/>
      <c r="J37" s="271"/>
      <c r="K37" s="272"/>
      <c r="L37" s="2"/>
      <c r="M37" s="2"/>
      <c r="N37" s="263"/>
      <c r="O37" s="273" t="s">
        <v>476</v>
      </c>
      <c r="P37" s="269" t="s">
        <v>62</v>
      </c>
      <c r="Q37" s="269">
        <v>0</v>
      </c>
      <c r="R37" s="269">
        <v>100</v>
      </c>
      <c r="S37" s="269">
        <v>200</v>
      </c>
      <c r="T37" s="738"/>
    </row>
    <row r="38" spans="1:20" ht="22.5" customHeight="1" x14ac:dyDescent="0.25">
      <c r="A38" s="728"/>
      <c r="B38" s="730"/>
      <c r="C38" s="784"/>
      <c r="D38" s="758"/>
      <c r="E38" s="736"/>
      <c r="F38" s="457"/>
      <c r="G38" s="41"/>
      <c r="H38" s="271"/>
      <c r="I38" s="271"/>
      <c r="J38" s="271"/>
      <c r="K38" s="272"/>
      <c r="L38" s="2"/>
      <c r="M38" s="2"/>
      <c r="N38" s="263"/>
      <c r="O38" s="273" t="s">
        <v>477</v>
      </c>
      <c r="P38" s="269" t="s">
        <v>62</v>
      </c>
      <c r="Q38" s="269">
        <v>0</v>
      </c>
      <c r="R38" s="269">
        <v>200</v>
      </c>
      <c r="S38" s="269">
        <v>200</v>
      </c>
      <c r="T38" s="738"/>
    </row>
    <row r="39" spans="1:20" ht="34.5" customHeight="1" x14ac:dyDescent="0.25">
      <c r="A39" s="739"/>
      <c r="B39" s="740"/>
      <c r="C39" s="794"/>
      <c r="D39" s="743"/>
      <c r="E39" s="744"/>
      <c r="F39" s="398"/>
      <c r="G39" s="44" t="s">
        <v>23</v>
      </c>
      <c r="H39" s="274">
        <f>+H34</f>
        <v>0</v>
      </c>
      <c r="I39" s="274">
        <f t="shared" ref="I39:M39" si="9">+I34</f>
        <v>0</v>
      </c>
      <c r="J39" s="274">
        <f t="shared" si="9"/>
        <v>0</v>
      </c>
      <c r="K39" s="274">
        <f t="shared" si="9"/>
        <v>0</v>
      </c>
      <c r="L39" s="274">
        <f t="shared" si="9"/>
        <v>0</v>
      </c>
      <c r="M39" s="274">
        <f t="shared" si="9"/>
        <v>0</v>
      </c>
      <c r="N39" s="275">
        <f>SUM(H39+L39+M39)</f>
        <v>0</v>
      </c>
      <c r="O39" s="273" t="s">
        <v>478</v>
      </c>
      <c r="P39" s="269" t="s">
        <v>62</v>
      </c>
      <c r="Q39" s="269">
        <v>0</v>
      </c>
      <c r="R39" s="269">
        <v>200</v>
      </c>
      <c r="S39" s="269">
        <v>200</v>
      </c>
      <c r="T39" s="753"/>
    </row>
    <row r="40" spans="1:20" x14ac:dyDescent="0.25">
      <c r="A40" s="109" t="s">
        <v>46</v>
      </c>
      <c r="B40" s="110" t="s">
        <v>55</v>
      </c>
      <c r="C40" s="789" t="s">
        <v>479</v>
      </c>
      <c r="D40" s="790"/>
      <c r="E40" s="790"/>
      <c r="F40" s="790"/>
      <c r="G40" s="790"/>
      <c r="H40" s="790"/>
      <c r="I40" s="790"/>
      <c r="J40" s="790"/>
      <c r="K40" s="790"/>
      <c r="L40" s="790"/>
      <c r="M40" s="790"/>
      <c r="N40" s="790"/>
      <c r="O40" s="790"/>
      <c r="P40" s="790"/>
      <c r="Q40" s="790"/>
      <c r="R40" s="790"/>
      <c r="S40" s="790"/>
      <c r="T40" s="791"/>
    </row>
    <row r="41" spans="1:20" x14ac:dyDescent="0.25">
      <c r="A41" s="727" t="s">
        <v>46</v>
      </c>
      <c r="B41" s="729" t="s">
        <v>55</v>
      </c>
      <c r="C41" s="787" t="s">
        <v>36</v>
      </c>
      <c r="D41" s="792" t="s">
        <v>480</v>
      </c>
      <c r="E41" s="735" t="s">
        <v>107</v>
      </c>
      <c r="F41" s="397">
        <v>188718713</v>
      </c>
      <c r="G41" s="257" t="s">
        <v>40</v>
      </c>
      <c r="H41" s="248"/>
      <c r="I41" s="248"/>
      <c r="J41" s="248"/>
      <c r="K41" s="248"/>
      <c r="L41" s="7">
        <f>+(H41*0.05)+H41</f>
        <v>0</v>
      </c>
      <c r="M41" s="7">
        <f>+H41*0.1+H41</f>
        <v>0</v>
      </c>
      <c r="N41" s="249">
        <f>H41+L41+M41</f>
        <v>0</v>
      </c>
      <c r="O41" s="754" t="s">
        <v>481</v>
      </c>
      <c r="P41" s="745" t="s">
        <v>62</v>
      </c>
      <c r="Q41" s="745">
        <v>10</v>
      </c>
      <c r="R41" s="745">
        <v>10</v>
      </c>
      <c r="S41" s="745">
        <v>10</v>
      </c>
      <c r="T41" s="737" t="s">
        <v>378</v>
      </c>
    </row>
    <row r="42" spans="1:20" x14ac:dyDescent="0.25">
      <c r="A42" s="728"/>
      <c r="B42" s="730"/>
      <c r="C42" s="788"/>
      <c r="D42" s="793"/>
      <c r="E42" s="736"/>
      <c r="F42" s="457"/>
      <c r="G42" s="258" t="s">
        <v>23</v>
      </c>
      <c r="H42" s="251">
        <f t="shared" ref="H42:M42" si="10">+H41</f>
        <v>0</v>
      </c>
      <c r="I42" s="251">
        <f t="shared" si="10"/>
        <v>0</v>
      </c>
      <c r="J42" s="251">
        <f t="shared" si="10"/>
        <v>0</v>
      </c>
      <c r="K42" s="251">
        <f t="shared" si="10"/>
        <v>0</v>
      </c>
      <c r="L42" s="251">
        <f t="shared" si="10"/>
        <v>0</v>
      </c>
      <c r="M42" s="251">
        <f t="shared" si="10"/>
        <v>0</v>
      </c>
      <c r="N42" s="252">
        <f>+H42+L42+M42</f>
        <v>0</v>
      </c>
      <c r="O42" s="755"/>
      <c r="P42" s="746"/>
      <c r="Q42" s="746"/>
      <c r="R42" s="746"/>
      <c r="S42" s="746"/>
      <c r="T42" s="738"/>
    </row>
    <row r="43" spans="1:20" x14ac:dyDescent="0.25">
      <c r="A43" s="727" t="s">
        <v>46</v>
      </c>
      <c r="B43" s="729" t="s">
        <v>55</v>
      </c>
      <c r="C43" s="787" t="s">
        <v>46</v>
      </c>
      <c r="D43" s="785" t="s">
        <v>482</v>
      </c>
      <c r="E43" s="735" t="s">
        <v>107</v>
      </c>
      <c r="F43" s="397">
        <v>188718713</v>
      </c>
      <c r="G43" s="257" t="s">
        <v>40</v>
      </c>
      <c r="H43" s="248"/>
      <c r="I43" s="248"/>
      <c r="J43" s="248"/>
      <c r="K43" s="248"/>
      <c r="L43" s="7">
        <f>+(H43*0.05)+H43</f>
        <v>0</v>
      </c>
      <c r="M43" s="7">
        <f>+H43*0.1+H43</f>
        <v>0</v>
      </c>
      <c r="N43" s="249">
        <f>H43+L43+M43</f>
        <v>0</v>
      </c>
      <c r="O43" s="754" t="s">
        <v>483</v>
      </c>
      <c r="P43" s="745" t="s">
        <v>62</v>
      </c>
      <c r="Q43" s="745">
        <v>3</v>
      </c>
      <c r="R43" s="745">
        <v>5</v>
      </c>
      <c r="S43" s="745">
        <v>5</v>
      </c>
      <c r="T43" s="737" t="s">
        <v>378</v>
      </c>
    </row>
    <row r="44" spans="1:20" x14ac:dyDescent="0.25">
      <c r="A44" s="728"/>
      <c r="B44" s="730"/>
      <c r="C44" s="788"/>
      <c r="D44" s="786"/>
      <c r="E44" s="736"/>
      <c r="F44" s="457"/>
      <c r="G44" s="258" t="s">
        <v>23</v>
      </c>
      <c r="H44" s="251">
        <f t="shared" ref="H44:M44" si="11">+H43</f>
        <v>0</v>
      </c>
      <c r="I44" s="251">
        <f t="shared" si="11"/>
        <v>0</v>
      </c>
      <c r="J44" s="251">
        <f t="shared" si="11"/>
        <v>0</v>
      </c>
      <c r="K44" s="251">
        <f t="shared" si="11"/>
        <v>0</v>
      </c>
      <c r="L44" s="251">
        <f t="shared" si="11"/>
        <v>0</v>
      </c>
      <c r="M44" s="251">
        <f t="shared" si="11"/>
        <v>0</v>
      </c>
      <c r="N44" s="252">
        <f>+H44+L44+M44</f>
        <v>0</v>
      </c>
      <c r="O44" s="755"/>
      <c r="P44" s="746"/>
      <c r="Q44" s="746"/>
      <c r="R44" s="746"/>
      <c r="S44" s="746"/>
      <c r="T44" s="738"/>
    </row>
    <row r="45" spans="1:20" x14ac:dyDescent="0.25">
      <c r="A45" s="254" t="s">
        <v>50</v>
      </c>
      <c r="B45" s="548" t="s">
        <v>484</v>
      </c>
      <c r="C45" s="549"/>
      <c r="D45" s="549"/>
      <c r="E45" s="549"/>
      <c r="F45" s="549"/>
      <c r="G45" s="549"/>
      <c r="H45" s="549"/>
      <c r="I45" s="549"/>
      <c r="J45" s="549"/>
      <c r="K45" s="549"/>
      <c r="L45" s="549"/>
      <c r="M45" s="549"/>
      <c r="N45" s="549"/>
      <c r="O45" s="549"/>
      <c r="P45" s="549"/>
      <c r="Q45" s="549"/>
      <c r="R45" s="549"/>
      <c r="S45" s="549"/>
      <c r="T45" s="550"/>
    </row>
    <row r="46" spans="1:20" x14ac:dyDescent="0.25">
      <c r="A46" s="109" t="s">
        <v>50</v>
      </c>
      <c r="B46" s="110" t="s">
        <v>36</v>
      </c>
      <c r="C46" s="724" t="s">
        <v>485</v>
      </c>
      <c r="D46" s="725"/>
      <c r="E46" s="725"/>
      <c r="F46" s="725"/>
      <c r="G46" s="725"/>
      <c r="H46" s="725"/>
      <c r="I46" s="725"/>
      <c r="J46" s="725"/>
      <c r="K46" s="725"/>
      <c r="L46" s="725"/>
      <c r="M46" s="725"/>
      <c r="N46" s="725"/>
      <c r="O46" s="725"/>
      <c r="P46" s="725"/>
      <c r="Q46" s="725"/>
      <c r="R46" s="725"/>
      <c r="S46" s="725"/>
      <c r="T46" s="726"/>
    </row>
    <row r="47" spans="1:20" x14ac:dyDescent="0.25">
      <c r="A47" s="727" t="s">
        <v>50</v>
      </c>
      <c r="B47" s="729" t="s">
        <v>36</v>
      </c>
      <c r="C47" s="780" t="s">
        <v>36</v>
      </c>
      <c r="D47" s="796" t="s">
        <v>486</v>
      </c>
      <c r="E47" s="430" t="s">
        <v>107</v>
      </c>
      <c r="F47" s="397">
        <v>188718713</v>
      </c>
      <c r="G47" s="41" t="s">
        <v>40</v>
      </c>
      <c r="H47" s="297">
        <v>4</v>
      </c>
      <c r="I47" s="271"/>
      <c r="J47" s="271"/>
      <c r="K47" s="272"/>
      <c r="L47" s="2">
        <f>+(H47*0.05)+H47</f>
        <v>4.2</v>
      </c>
      <c r="M47" s="7">
        <f>L47*1.05</f>
        <v>4.41</v>
      </c>
      <c r="N47" s="263">
        <f>SUM(H47+L47+M47)</f>
        <v>12.61</v>
      </c>
      <c r="O47" s="754" t="s">
        <v>487</v>
      </c>
      <c r="P47" s="745" t="s">
        <v>432</v>
      </c>
      <c r="Q47" s="745">
        <v>5</v>
      </c>
      <c r="R47" s="745">
        <v>5</v>
      </c>
      <c r="S47" s="745">
        <v>6</v>
      </c>
      <c r="T47" s="737" t="s">
        <v>488</v>
      </c>
    </row>
    <row r="48" spans="1:20" ht="33" customHeight="1" x14ac:dyDescent="0.25">
      <c r="A48" s="739"/>
      <c r="B48" s="740"/>
      <c r="C48" s="781"/>
      <c r="D48" s="796"/>
      <c r="E48" s="430"/>
      <c r="F48" s="457"/>
      <c r="G48" s="44" t="s">
        <v>23</v>
      </c>
      <c r="H48" s="298">
        <f t="shared" ref="H48:M48" si="12">+H47</f>
        <v>4</v>
      </c>
      <c r="I48" s="274">
        <f t="shared" si="12"/>
        <v>0</v>
      </c>
      <c r="J48" s="274">
        <f t="shared" si="12"/>
        <v>0</v>
      </c>
      <c r="K48" s="274">
        <f t="shared" si="12"/>
        <v>0</v>
      </c>
      <c r="L48" s="274">
        <f t="shared" si="12"/>
        <v>4.2</v>
      </c>
      <c r="M48" s="274">
        <f t="shared" si="12"/>
        <v>4.41</v>
      </c>
      <c r="N48" s="275">
        <f>SUM(H48+L48+M48)</f>
        <v>12.61</v>
      </c>
      <c r="O48" s="755"/>
      <c r="P48" s="746"/>
      <c r="Q48" s="746"/>
      <c r="R48" s="746"/>
      <c r="S48" s="746"/>
      <c r="T48" s="753"/>
    </row>
    <row r="49" spans="1:20" x14ac:dyDescent="0.25">
      <c r="A49" s="727" t="s">
        <v>50</v>
      </c>
      <c r="B49" s="729" t="s">
        <v>36</v>
      </c>
      <c r="C49" s="731" t="s">
        <v>46</v>
      </c>
      <c r="D49" s="795" t="s">
        <v>489</v>
      </c>
      <c r="E49" s="735" t="s">
        <v>107</v>
      </c>
      <c r="F49" s="397">
        <v>188718713</v>
      </c>
      <c r="G49" s="257" t="s">
        <v>40</v>
      </c>
      <c r="H49" s="248"/>
      <c r="I49" s="248"/>
      <c r="J49" s="248"/>
      <c r="K49" s="248"/>
      <c r="L49" s="7">
        <f>+(H49*0.05)+H49</f>
        <v>0</v>
      </c>
      <c r="M49" s="7">
        <f>+H49*0.1+H49</f>
        <v>0</v>
      </c>
      <c r="N49" s="249">
        <f>+H49+L49+M49</f>
        <v>0</v>
      </c>
      <c r="O49" s="754" t="s">
        <v>490</v>
      </c>
      <c r="P49" s="745" t="s">
        <v>432</v>
      </c>
      <c r="Q49" s="745">
        <v>5</v>
      </c>
      <c r="R49" s="745">
        <v>5</v>
      </c>
      <c r="S49" s="745">
        <v>6</v>
      </c>
      <c r="T49" s="738" t="s">
        <v>488</v>
      </c>
    </row>
    <row r="50" spans="1:20" ht="51.75" customHeight="1" x14ac:dyDescent="0.25">
      <c r="A50" s="739"/>
      <c r="B50" s="740"/>
      <c r="C50" s="741"/>
      <c r="D50" s="743"/>
      <c r="E50" s="744"/>
      <c r="F50" s="398"/>
      <c r="G50" s="264" t="s">
        <v>23</v>
      </c>
      <c r="H50" s="265">
        <f t="shared" ref="H50:N50" si="13">+H49</f>
        <v>0</v>
      </c>
      <c r="I50" s="265">
        <f t="shared" si="13"/>
        <v>0</v>
      </c>
      <c r="J50" s="265">
        <f t="shared" si="13"/>
        <v>0</v>
      </c>
      <c r="K50" s="265">
        <f t="shared" si="13"/>
        <v>0</v>
      </c>
      <c r="L50" s="265">
        <f t="shared" si="13"/>
        <v>0</v>
      </c>
      <c r="M50" s="265">
        <f t="shared" si="13"/>
        <v>0</v>
      </c>
      <c r="N50" s="265">
        <f t="shared" si="13"/>
        <v>0</v>
      </c>
      <c r="O50" s="755"/>
      <c r="P50" s="746"/>
      <c r="Q50" s="746"/>
      <c r="R50" s="746"/>
      <c r="S50" s="746"/>
      <c r="T50" s="753"/>
    </row>
    <row r="51" spans="1:20" x14ac:dyDescent="0.25">
      <c r="A51" s="493" t="s">
        <v>50</v>
      </c>
      <c r="B51" s="729" t="s">
        <v>36</v>
      </c>
      <c r="C51" s="731" t="s">
        <v>50</v>
      </c>
      <c r="D51" s="795" t="s">
        <v>491</v>
      </c>
      <c r="E51" s="735" t="s">
        <v>107</v>
      </c>
      <c r="F51" s="397">
        <v>188718713</v>
      </c>
      <c r="G51" s="264" t="s">
        <v>40</v>
      </c>
      <c r="H51" s="265"/>
      <c r="I51" s="265"/>
      <c r="J51" s="265"/>
      <c r="K51" s="265"/>
      <c r="L51" s="265">
        <f>SUM(H51*0.05)+H51</f>
        <v>0</v>
      </c>
      <c r="M51" s="265">
        <f>+(L51*0.05)+L51</f>
        <v>0</v>
      </c>
      <c r="N51" s="265">
        <f>SUM(H51+L51+M51)</f>
        <v>0</v>
      </c>
      <c r="O51" s="754" t="s">
        <v>492</v>
      </c>
      <c r="P51" s="745" t="s">
        <v>432</v>
      </c>
      <c r="Q51" s="745">
        <v>1</v>
      </c>
      <c r="R51" s="745">
        <v>1</v>
      </c>
      <c r="S51" s="745">
        <v>2</v>
      </c>
      <c r="T51" s="737" t="s">
        <v>488</v>
      </c>
    </row>
    <row r="52" spans="1:20" x14ac:dyDescent="0.25">
      <c r="A52" s="493"/>
      <c r="B52" s="740"/>
      <c r="C52" s="741"/>
      <c r="D52" s="743"/>
      <c r="E52" s="744"/>
      <c r="F52" s="398"/>
      <c r="G52" s="264" t="s">
        <v>23</v>
      </c>
      <c r="H52" s="265">
        <f>SUM(H51)</f>
        <v>0</v>
      </c>
      <c r="I52" s="265">
        <f t="shared" ref="I52:N52" si="14">SUM(I51)</f>
        <v>0</v>
      </c>
      <c r="J52" s="265">
        <f t="shared" si="14"/>
        <v>0</v>
      </c>
      <c r="K52" s="265">
        <f t="shared" si="14"/>
        <v>0</v>
      </c>
      <c r="L52" s="265">
        <f t="shared" si="14"/>
        <v>0</v>
      </c>
      <c r="M52" s="265">
        <f t="shared" si="14"/>
        <v>0</v>
      </c>
      <c r="N52" s="265">
        <f t="shared" si="14"/>
        <v>0</v>
      </c>
      <c r="O52" s="755"/>
      <c r="P52" s="746"/>
      <c r="Q52" s="746"/>
      <c r="R52" s="746"/>
      <c r="S52" s="746"/>
      <c r="T52" s="753"/>
    </row>
    <row r="53" spans="1:20" x14ac:dyDescent="0.25">
      <c r="A53" s="727" t="s">
        <v>50</v>
      </c>
      <c r="B53" s="729" t="s">
        <v>36</v>
      </c>
      <c r="C53" s="731" t="s">
        <v>75</v>
      </c>
      <c r="D53" s="806" t="s">
        <v>493</v>
      </c>
      <c r="E53" s="808" t="s">
        <v>107</v>
      </c>
      <c r="F53" s="605">
        <v>188718713</v>
      </c>
      <c r="G53" s="278" t="s">
        <v>40</v>
      </c>
      <c r="H53" s="279">
        <v>18.399999999999999</v>
      </c>
      <c r="I53" s="279"/>
      <c r="J53" s="279"/>
      <c r="K53" s="279"/>
      <c r="L53" s="165">
        <f>+(H53*0.05)+H53</f>
        <v>19.32</v>
      </c>
      <c r="M53" s="7">
        <f>L53*1.05</f>
        <v>20.286000000000001</v>
      </c>
      <c r="N53" s="280">
        <f>+H53+L53+M53</f>
        <v>58.006</v>
      </c>
      <c r="O53" s="273"/>
      <c r="P53" s="269"/>
      <c r="Q53" s="253"/>
      <c r="R53" s="253"/>
      <c r="S53" s="253"/>
      <c r="T53" s="797" t="s">
        <v>138</v>
      </c>
    </row>
    <row r="54" spans="1:20" x14ac:dyDescent="0.25">
      <c r="A54" s="728"/>
      <c r="B54" s="730"/>
      <c r="C54" s="732"/>
      <c r="D54" s="810"/>
      <c r="E54" s="811"/>
      <c r="F54" s="812"/>
      <c r="G54" s="278"/>
      <c r="H54" s="279"/>
      <c r="I54" s="279"/>
      <c r="J54" s="279"/>
      <c r="K54" s="279"/>
      <c r="L54" s="165"/>
      <c r="M54" s="165"/>
      <c r="N54" s="280"/>
      <c r="O54" s="273"/>
      <c r="P54" s="253"/>
      <c r="Q54" s="253"/>
      <c r="R54" s="253"/>
      <c r="S54" s="253"/>
      <c r="T54" s="798"/>
    </row>
    <row r="55" spans="1:20" x14ac:dyDescent="0.25">
      <c r="A55" s="739"/>
      <c r="B55" s="740"/>
      <c r="C55" s="741"/>
      <c r="D55" s="807"/>
      <c r="E55" s="809"/>
      <c r="F55" s="606"/>
      <c r="G55" s="281" t="s">
        <v>23</v>
      </c>
      <c r="H55" s="282">
        <f>+H53</f>
        <v>18.399999999999999</v>
      </c>
      <c r="I55" s="282">
        <f t="shared" ref="I55:N55" si="15">+I53</f>
        <v>0</v>
      </c>
      <c r="J55" s="282">
        <f t="shared" si="15"/>
        <v>0</v>
      </c>
      <c r="K55" s="282">
        <f t="shared" si="15"/>
        <v>0</v>
      </c>
      <c r="L55" s="282">
        <f t="shared" si="15"/>
        <v>19.32</v>
      </c>
      <c r="M55" s="282">
        <f t="shared" si="15"/>
        <v>20.286000000000001</v>
      </c>
      <c r="N55" s="282">
        <f t="shared" si="15"/>
        <v>58.006</v>
      </c>
      <c r="O55" s="273"/>
      <c r="P55" s="253"/>
      <c r="Q55" s="253"/>
      <c r="R55" s="253"/>
      <c r="S55" s="253"/>
      <c r="T55" s="799"/>
    </row>
    <row r="56" spans="1:20" x14ac:dyDescent="0.25">
      <c r="A56" s="800" t="s">
        <v>50</v>
      </c>
      <c r="B56" s="802" t="s">
        <v>36</v>
      </c>
      <c r="C56" s="804" t="s">
        <v>494</v>
      </c>
      <c r="D56" s="806" t="s">
        <v>495</v>
      </c>
      <c r="E56" s="808" t="s">
        <v>107</v>
      </c>
      <c r="F56" s="605">
        <v>188718713</v>
      </c>
      <c r="G56" s="278" t="s">
        <v>40</v>
      </c>
      <c r="H56" s="279">
        <v>6.5</v>
      </c>
      <c r="I56" s="279"/>
      <c r="J56" s="279"/>
      <c r="K56" s="279"/>
      <c r="L56" s="165">
        <f>+(H56*0.05)+H56</f>
        <v>6.8250000000000002</v>
      </c>
      <c r="M56" s="7">
        <f>L56*1.05</f>
        <v>7.1662500000000007</v>
      </c>
      <c r="N56" s="280">
        <f>+H56+L56+M56</f>
        <v>20.491250000000001</v>
      </c>
      <c r="O56" s="273"/>
      <c r="P56" s="253"/>
      <c r="Q56" s="253"/>
      <c r="R56" s="253"/>
      <c r="S56" s="253"/>
      <c r="T56" s="797" t="s">
        <v>138</v>
      </c>
    </row>
    <row r="57" spans="1:20" x14ac:dyDescent="0.25">
      <c r="A57" s="801"/>
      <c r="B57" s="803"/>
      <c r="C57" s="805"/>
      <c r="D57" s="807"/>
      <c r="E57" s="809"/>
      <c r="F57" s="606"/>
      <c r="G57" s="281" t="s">
        <v>23</v>
      </c>
      <c r="H57" s="282">
        <f>+H56</f>
        <v>6.5</v>
      </c>
      <c r="I57" s="282">
        <f t="shared" ref="I57:N57" si="16">+I56</f>
        <v>0</v>
      </c>
      <c r="J57" s="282">
        <f t="shared" si="16"/>
        <v>0</v>
      </c>
      <c r="K57" s="282">
        <f t="shared" si="16"/>
        <v>0</v>
      </c>
      <c r="L57" s="282">
        <f t="shared" si="16"/>
        <v>6.8250000000000002</v>
      </c>
      <c r="M57" s="282">
        <f t="shared" si="16"/>
        <v>7.1662500000000007</v>
      </c>
      <c r="N57" s="282">
        <f t="shared" si="16"/>
        <v>20.491250000000001</v>
      </c>
      <c r="O57" s="273"/>
      <c r="P57" s="253"/>
      <c r="Q57" s="253"/>
      <c r="R57" s="253"/>
      <c r="S57" s="253"/>
      <c r="T57" s="799"/>
    </row>
    <row r="58" spans="1:20" x14ac:dyDescent="0.25">
      <c r="A58" s="109" t="s">
        <v>50</v>
      </c>
      <c r="B58" s="110" t="s">
        <v>46</v>
      </c>
      <c r="C58" s="724" t="s">
        <v>496</v>
      </c>
      <c r="D58" s="725"/>
      <c r="E58" s="725"/>
      <c r="F58" s="725"/>
      <c r="G58" s="725"/>
      <c r="H58" s="725"/>
      <c r="I58" s="725"/>
      <c r="J58" s="725"/>
      <c r="K58" s="725"/>
      <c r="L58" s="725"/>
      <c r="M58" s="725"/>
      <c r="N58" s="725"/>
      <c r="O58" s="725"/>
      <c r="P58" s="725"/>
      <c r="Q58" s="725"/>
      <c r="R58" s="725"/>
      <c r="S58" s="725"/>
      <c r="T58" s="726"/>
    </row>
    <row r="59" spans="1:20" x14ac:dyDescent="0.25">
      <c r="A59" s="727" t="s">
        <v>50</v>
      </c>
      <c r="B59" s="729" t="s">
        <v>46</v>
      </c>
      <c r="C59" s="731" t="s">
        <v>46</v>
      </c>
      <c r="D59" s="742" t="s">
        <v>497</v>
      </c>
      <c r="E59" s="735" t="s">
        <v>55</v>
      </c>
      <c r="F59" s="432">
        <v>188718713</v>
      </c>
      <c r="G59" s="283" t="s">
        <v>40</v>
      </c>
      <c r="H59" s="284">
        <v>320</v>
      </c>
      <c r="I59" s="284"/>
      <c r="J59" s="284">
        <v>0</v>
      </c>
      <c r="K59" s="284"/>
      <c r="L59" s="7">
        <f>+(H59*0.05)+H59</f>
        <v>336</v>
      </c>
      <c r="M59" s="7">
        <f>L59*1.05</f>
        <v>352.8</v>
      </c>
      <c r="N59" s="249">
        <f>H59+L59+M59</f>
        <v>1008.8</v>
      </c>
      <c r="O59" s="754" t="s">
        <v>498</v>
      </c>
      <c r="P59" s="745" t="s">
        <v>45</v>
      </c>
      <c r="Q59" s="745">
        <v>0</v>
      </c>
      <c r="R59" s="745">
        <v>0</v>
      </c>
      <c r="S59" s="745">
        <v>0</v>
      </c>
      <c r="T59" s="737" t="s">
        <v>74</v>
      </c>
    </row>
    <row r="60" spans="1:20" ht="36" customHeight="1" x14ac:dyDescent="0.25">
      <c r="A60" s="739"/>
      <c r="B60" s="740"/>
      <c r="C60" s="741"/>
      <c r="D60" s="743"/>
      <c r="E60" s="744"/>
      <c r="F60" s="397"/>
      <c r="G60" s="44" t="s">
        <v>23</v>
      </c>
      <c r="H60" s="45">
        <f>+H59</f>
        <v>320</v>
      </c>
      <c r="I60" s="45">
        <f t="shared" ref="I60:N60" si="17">+I59</f>
        <v>0</v>
      </c>
      <c r="J60" s="45">
        <f t="shared" si="17"/>
        <v>0</v>
      </c>
      <c r="K60" s="45">
        <f t="shared" si="17"/>
        <v>0</v>
      </c>
      <c r="L60" s="45">
        <f t="shared" si="17"/>
        <v>336</v>
      </c>
      <c r="M60" s="45">
        <f t="shared" si="17"/>
        <v>352.8</v>
      </c>
      <c r="N60" s="45">
        <f t="shared" si="17"/>
        <v>1008.8</v>
      </c>
      <c r="O60" s="755"/>
      <c r="P60" s="746"/>
      <c r="Q60" s="746"/>
      <c r="R60" s="746"/>
      <c r="S60" s="746"/>
      <c r="T60" s="753"/>
    </row>
    <row r="61" spans="1:20" x14ac:dyDescent="0.25">
      <c r="A61" s="727" t="s">
        <v>50</v>
      </c>
      <c r="B61" s="729" t="s">
        <v>46</v>
      </c>
      <c r="C61" s="731" t="s">
        <v>55</v>
      </c>
      <c r="D61" s="772" t="s">
        <v>499</v>
      </c>
      <c r="E61" s="813" t="s">
        <v>55</v>
      </c>
      <c r="F61" s="521">
        <v>188718713</v>
      </c>
      <c r="G61" s="285" t="s">
        <v>141</v>
      </c>
      <c r="H61" s="262">
        <v>927.56</v>
      </c>
      <c r="I61" s="262"/>
      <c r="J61" s="262"/>
      <c r="K61" s="262"/>
      <c r="L61" s="7">
        <v>0</v>
      </c>
      <c r="M61" s="7">
        <v>0</v>
      </c>
      <c r="N61" s="263">
        <f>+H61+L61+M61</f>
        <v>927.56</v>
      </c>
      <c r="O61" s="754" t="s">
        <v>500</v>
      </c>
      <c r="P61" s="745" t="s">
        <v>62</v>
      </c>
      <c r="Q61" s="745">
        <v>0</v>
      </c>
      <c r="R61" s="745">
        <v>1</v>
      </c>
      <c r="S61" s="745">
        <v>0</v>
      </c>
      <c r="T61" s="737" t="s">
        <v>74</v>
      </c>
    </row>
    <row r="62" spans="1:20" x14ac:dyDescent="0.25">
      <c r="A62" s="728"/>
      <c r="B62" s="730"/>
      <c r="C62" s="732"/>
      <c r="D62" s="773"/>
      <c r="E62" s="814"/>
      <c r="F62" s="522"/>
      <c r="G62" s="285" t="s">
        <v>149</v>
      </c>
      <c r="H62" s="262">
        <v>1005.54</v>
      </c>
      <c r="I62" s="262"/>
      <c r="J62" s="262"/>
      <c r="K62" s="262"/>
      <c r="L62" s="7">
        <v>0</v>
      </c>
      <c r="M62" s="7">
        <v>0</v>
      </c>
      <c r="N62" s="263">
        <f>+H62+L62+M62</f>
        <v>1005.54</v>
      </c>
      <c r="O62" s="755"/>
      <c r="P62" s="746"/>
      <c r="Q62" s="746"/>
      <c r="R62" s="746"/>
      <c r="S62" s="746"/>
      <c r="T62" s="738"/>
    </row>
    <row r="63" spans="1:20" x14ac:dyDescent="0.25">
      <c r="A63" s="728"/>
      <c r="B63" s="730"/>
      <c r="C63" s="732"/>
      <c r="D63" s="773"/>
      <c r="E63" s="814"/>
      <c r="F63" s="522"/>
      <c r="G63" s="286" t="s">
        <v>40</v>
      </c>
      <c r="H63" s="284">
        <v>228.5</v>
      </c>
      <c r="I63" s="284"/>
      <c r="J63" s="284">
        <v>0</v>
      </c>
      <c r="K63" s="284"/>
      <c r="L63" s="7">
        <f>+(H63*0.05)+H63</f>
        <v>239.92500000000001</v>
      </c>
      <c r="M63" s="7">
        <f>L63*1.05</f>
        <v>251.92125000000001</v>
      </c>
      <c r="N63" s="249">
        <f>H63+L63+M63</f>
        <v>720.34625000000005</v>
      </c>
      <c r="O63" s="754" t="s">
        <v>501</v>
      </c>
      <c r="P63" s="745" t="s">
        <v>62</v>
      </c>
      <c r="Q63" s="745">
        <v>1</v>
      </c>
      <c r="R63" s="745">
        <v>2</v>
      </c>
      <c r="S63" s="745">
        <v>2</v>
      </c>
      <c r="T63" s="738"/>
    </row>
    <row r="64" spans="1:20" x14ac:dyDescent="0.25">
      <c r="A64" s="739"/>
      <c r="B64" s="740"/>
      <c r="C64" s="741"/>
      <c r="D64" s="774"/>
      <c r="E64" s="815"/>
      <c r="F64" s="523"/>
      <c r="G64" s="287" t="s">
        <v>23</v>
      </c>
      <c r="H64" s="45">
        <f>+H63</f>
        <v>228.5</v>
      </c>
      <c r="I64" s="45">
        <f t="shared" ref="I64:N64" si="18">+I63</f>
        <v>0</v>
      </c>
      <c r="J64" s="45">
        <f t="shared" si="18"/>
        <v>0</v>
      </c>
      <c r="K64" s="45">
        <f t="shared" si="18"/>
        <v>0</v>
      </c>
      <c r="L64" s="45">
        <f t="shared" si="18"/>
        <v>239.92500000000001</v>
      </c>
      <c r="M64" s="45">
        <f t="shared" si="18"/>
        <v>251.92125000000001</v>
      </c>
      <c r="N64" s="45">
        <f t="shared" si="18"/>
        <v>720.34625000000005</v>
      </c>
      <c r="O64" s="755"/>
      <c r="P64" s="746"/>
      <c r="Q64" s="746"/>
      <c r="R64" s="746"/>
      <c r="S64" s="746"/>
      <c r="T64" s="753"/>
    </row>
    <row r="65" spans="1:20" x14ac:dyDescent="0.25">
      <c r="A65" s="559" t="s">
        <v>236</v>
      </c>
      <c r="B65" s="560"/>
      <c r="C65" s="560"/>
      <c r="D65" s="560"/>
      <c r="E65" s="560"/>
      <c r="F65" s="610"/>
      <c r="G65" s="561"/>
      <c r="H65" s="133">
        <f>+SUM(H66:H73)</f>
        <v>7979.6999999999989</v>
      </c>
      <c r="I65" s="133" t="e">
        <f t="shared" ref="I65:M65" si="19">+SUM(I66:I73)</f>
        <v>#REF!</v>
      </c>
      <c r="J65" s="133" t="e">
        <f t="shared" si="19"/>
        <v>#REF!</v>
      </c>
      <c r="K65" s="133" t="e">
        <f t="shared" si="19"/>
        <v>#REF!</v>
      </c>
      <c r="L65" s="133">
        <f t="shared" si="19"/>
        <v>6782.73</v>
      </c>
      <c r="M65" s="133">
        <f t="shared" si="19"/>
        <v>6661.9665000000014</v>
      </c>
      <c r="N65" s="133">
        <f>+SUM(N66:N73)</f>
        <v>21420.396499999999</v>
      </c>
      <c r="O65" s="133"/>
      <c r="P65" s="133"/>
      <c r="Q65" s="133"/>
      <c r="R65" s="133"/>
      <c r="S65" s="133"/>
      <c r="T65" s="134"/>
    </row>
    <row r="66" spans="1:20" x14ac:dyDescent="0.25">
      <c r="A66" s="556"/>
      <c r="B66" s="557"/>
      <c r="C66" s="557"/>
      <c r="D66" s="557"/>
      <c r="E66" s="557"/>
      <c r="F66" s="558"/>
      <c r="G66" s="34" t="s">
        <v>40</v>
      </c>
      <c r="H66" s="8">
        <f>SUM(H9,H13,H15,H59)+H53+H17+H24+H63+H27+H29+H56+H32+H34+H41+H43+H47</f>
        <v>6046.5999999999995</v>
      </c>
      <c r="I66" s="8" t="e">
        <f>SUM(I9,I13,I15,#REF!,I59)+I53+I17+I24+I63+I27+I29+I56+#REF!+#REF!+#REF!+I32+I34+I41+I43</f>
        <v>#REF!</v>
      </c>
      <c r="J66" s="8" t="e">
        <f>SUM(J9,J13,J15,#REF!,J59)+J53+J17+J24+J63+J27+J29+J56+#REF!+#REF!+#REF!+J32+J34+J41+J43</f>
        <v>#REF!</v>
      </c>
      <c r="K66" s="8" t="e">
        <f>SUM(K9,K13,K15,#REF!,K59)+K53+K17+K24+K63+K27+K29+K56+#REF!+#REF!+#REF!+K32+K34+K41+K43</f>
        <v>#REF!</v>
      </c>
      <c r="L66" s="8">
        <f>SUM(L9,L13,L15,L59)+L53+L17+L24+L63+L27+L29+L56+L32+L34+L41+L43</f>
        <v>6344.73</v>
      </c>
      <c r="M66" s="8">
        <f>SUM(M9,M13,M15,M59)+M53+M17+M24+M63+M27+M29+M56+M32+M34+M41+M43</f>
        <v>6661.9665000000014</v>
      </c>
      <c r="N66" s="8">
        <f>SUM(N9,N13,N15,N59)+N53+N17+N24+N63+N27+N29+N56+N32+N34+N41+N43</f>
        <v>19049.296499999997</v>
      </c>
      <c r="O66" s="8"/>
      <c r="P66" s="8"/>
      <c r="Q66" s="8"/>
      <c r="R66" s="8"/>
      <c r="S66" s="8"/>
      <c r="T66" s="52"/>
    </row>
    <row r="67" spans="1:20" x14ac:dyDescent="0.25">
      <c r="A67" s="556"/>
      <c r="B67" s="557"/>
      <c r="C67" s="557"/>
      <c r="D67" s="557"/>
      <c r="E67" s="557"/>
      <c r="F67" s="558"/>
      <c r="G67" s="34" t="s">
        <v>95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/>
      <c r="P67" s="4"/>
      <c r="Q67" s="4"/>
      <c r="R67" s="4"/>
      <c r="S67" s="4"/>
      <c r="T67" s="52"/>
    </row>
    <row r="68" spans="1:20" x14ac:dyDescent="0.25">
      <c r="A68" s="556"/>
      <c r="B68" s="557"/>
      <c r="C68" s="557"/>
      <c r="D68" s="557"/>
      <c r="E68" s="557"/>
      <c r="F68" s="558"/>
      <c r="G68" s="34" t="s">
        <v>53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/>
      <c r="P68" s="4"/>
      <c r="Q68" s="4"/>
      <c r="R68" s="4"/>
      <c r="S68" s="4"/>
      <c r="T68" s="52"/>
    </row>
    <row r="69" spans="1:20" x14ac:dyDescent="0.25">
      <c r="A69" s="556"/>
      <c r="B69" s="557"/>
      <c r="C69" s="557"/>
      <c r="D69" s="557"/>
      <c r="E69" s="557"/>
      <c r="F69" s="558"/>
      <c r="G69" s="34" t="s">
        <v>149</v>
      </c>
      <c r="H69" s="4">
        <f>+H20+H25+H62</f>
        <v>1005.54</v>
      </c>
      <c r="I69" s="4" t="e">
        <f>+I20+I25+#REF!+#REF!+I62</f>
        <v>#REF!</v>
      </c>
      <c r="J69" s="4" t="e">
        <f>+J20+J25+#REF!+#REF!+J62</f>
        <v>#REF!</v>
      </c>
      <c r="K69" s="4" t="e">
        <f>+K20+K25+#REF!+#REF!+K62</f>
        <v>#REF!</v>
      </c>
      <c r="L69" s="4">
        <f>L62+L25+L20</f>
        <v>38</v>
      </c>
      <c r="M69" s="4">
        <f>+M20+M25+M62</f>
        <v>0</v>
      </c>
      <c r="N69" s="4">
        <f>+N20+N25+N62</f>
        <v>1043.54</v>
      </c>
      <c r="O69" s="4"/>
      <c r="P69" s="4"/>
      <c r="Q69" s="4"/>
      <c r="R69" s="4"/>
      <c r="S69" s="4"/>
      <c r="T69" s="202"/>
    </row>
    <row r="70" spans="1:20" x14ac:dyDescent="0.25">
      <c r="A70" s="556"/>
      <c r="B70" s="557"/>
      <c r="C70" s="557"/>
      <c r="D70" s="557"/>
      <c r="E70" s="557"/>
      <c r="F70" s="558"/>
      <c r="G70" s="34" t="s">
        <v>179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/>
      <c r="P70" s="4"/>
      <c r="Q70" s="4"/>
      <c r="R70" s="4"/>
      <c r="S70" s="4"/>
      <c r="T70" s="202"/>
    </row>
    <row r="71" spans="1:20" x14ac:dyDescent="0.25">
      <c r="A71" s="556"/>
      <c r="B71" s="557"/>
      <c r="C71" s="557"/>
      <c r="D71" s="557"/>
      <c r="E71" s="557"/>
      <c r="F71" s="558"/>
      <c r="G71" s="34" t="s">
        <v>238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/>
      <c r="P71" s="4"/>
      <c r="Q71" s="4"/>
      <c r="R71" s="4"/>
      <c r="S71" s="4"/>
      <c r="T71" s="202"/>
    </row>
    <row r="72" spans="1:20" x14ac:dyDescent="0.25">
      <c r="A72" s="556"/>
      <c r="B72" s="557"/>
      <c r="C72" s="557"/>
      <c r="D72" s="557"/>
      <c r="E72" s="557"/>
      <c r="F72" s="558"/>
      <c r="G72" s="34" t="s">
        <v>141</v>
      </c>
      <c r="H72" s="4">
        <f>+H19+H23+H61</f>
        <v>927.56</v>
      </c>
      <c r="I72" s="4" t="e">
        <f>+I19+I23+#REF!+#REF!+I61</f>
        <v>#REF!</v>
      </c>
      <c r="J72" s="4" t="e">
        <f>+J19+J23+#REF!+#REF!+J61</f>
        <v>#REF!</v>
      </c>
      <c r="K72" s="4" t="e">
        <f>+K19+K23+#REF!+#REF!+K61</f>
        <v>#REF!</v>
      </c>
      <c r="L72" s="4">
        <f>+L19+L23+L61</f>
        <v>400</v>
      </c>
      <c r="M72" s="4">
        <f>+M19+M23+M61</f>
        <v>0</v>
      </c>
      <c r="N72" s="4">
        <f>+N19+N23+N61</f>
        <v>1327.56</v>
      </c>
      <c r="O72" s="4"/>
      <c r="P72" s="4"/>
      <c r="Q72" s="4"/>
      <c r="R72" s="4"/>
      <c r="S72" s="4"/>
      <c r="T72" s="202"/>
    </row>
    <row r="73" spans="1:20" x14ac:dyDescent="0.25">
      <c r="A73" s="556"/>
      <c r="B73" s="557"/>
      <c r="C73" s="557"/>
      <c r="D73" s="557"/>
      <c r="E73" s="557"/>
      <c r="F73" s="558"/>
      <c r="G73" s="53" t="s">
        <v>144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/>
      <c r="P73" s="4"/>
      <c r="Q73" s="4"/>
      <c r="R73" s="4"/>
      <c r="S73" s="4"/>
      <c r="T73" s="202"/>
    </row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</sheetData>
  <mergeCells count="233">
    <mergeCell ref="A72:F72"/>
    <mergeCell ref="A73:F73"/>
    <mergeCell ref="A65:G65"/>
    <mergeCell ref="A66:F66"/>
    <mergeCell ref="A67:F67"/>
    <mergeCell ref="A68:F68"/>
    <mergeCell ref="A69:F69"/>
    <mergeCell ref="A70:F70"/>
    <mergeCell ref="R61:R62"/>
    <mergeCell ref="S61:S62"/>
    <mergeCell ref="T61:T64"/>
    <mergeCell ref="O63:O64"/>
    <mergeCell ref="P63:P64"/>
    <mergeCell ref="Q63:Q64"/>
    <mergeCell ref="R63:R64"/>
    <mergeCell ref="S63:S64"/>
    <mergeCell ref="A71:F71"/>
    <mergeCell ref="A61:A64"/>
    <mergeCell ref="B61:B64"/>
    <mergeCell ref="C61:C64"/>
    <mergeCell ref="D61:D64"/>
    <mergeCell ref="E61:E64"/>
    <mergeCell ref="F61:F64"/>
    <mergeCell ref="O61:O62"/>
    <mergeCell ref="P61:P62"/>
    <mergeCell ref="Q61:Q62"/>
    <mergeCell ref="C58:T58"/>
    <mergeCell ref="A59:A60"/>
    <mergeCell ref="B59:B60"/>
    <mergeCell ref="C59:C60"/>
    <mergeCell ref="D59:D60"/>
    <mergeCell ref="E59:E60"/>
    <mergeCell ref="F59:F60"/>
    <mergeCell ref="O59:O60"/>
    <mergeCell ref="P59:P60"/>
    <mergeCell ref="Q59:Q60"/>
    <mergeCell ref="R59:R60"/>
    <mergeCell ref="S59:S60"/>
    <mergeCell ref="T59:T60"/>
    <mergeCell ref="T53:T55"/>
    <mergeCell ref="A56:A57"/>
    <mergeCell ref="B56:B57"/>
    <mergeCell ref="C56:C57"/>
    <mergeCell ref="D56:D57"/>
    <mergeCell ref="E56:E57"/>
    <mergeCell ref="F56:F57"/>
    <mergeCell ref="T56:T57"/>
    <mergeCell ref="A53:A55"/>
    <mergeCell ref="B53:B55"/>
    <mergeCell ref="C53:C55"/>
    <mergeCell ref="D53:D55"/>
    <mergeCell ref="E53:E55"/>
    <mergeCell ref="F53:F55"/>
    <mergeCell ref="O51:O52"/>
    <mergeCell ref="P51:P52"/>
    <mergeCell ref="Q51:Q52"/>
    <mergeCell ref="R51:R52"/>
    <mergeCell ref="S51:S52"/>
    <mergeCell ref="T51:T52"/>
    <mergeCell ref="A51:A52"/>
    <mergeCell ref="B51:B52"/>
    <mergeCell ref="C51:C52"/>
    <mergeCell ref="D51:D52"/>
    <mergeCell ref="E51:E52"/>
    <mergeCell ref="F51:F52"/>
    <mergeCell ref="O49:O50"/>
    <mergeCell ref="P49:P50"/>
    <mergeCell ref="Q49:Q50"/>
    <mergeCell ref="R49:R50"/>
    <mergeCell ref="S49:S50"/>
    <mergeCell ref="T49:T50"/>
    <mergeCell ref="Q47:Q48"/>
    <mergeCell ref="R47:R48"/>
    <mergeCell ref="S47:S48"/>
    <mergeCell ref="T47:T48"/>
    <mergeCell ref="Q43:Q44"/>
    <mergeCell ref="R43:R44"/>
    <mergeCell ref="S43:S44"/>
    <mergeCell ref="T43:T44"/>
    <mergeCell ref="Q41:Q42"/>
    <mergeCell ref="R41:R42"/>
    <mergeCell ref="S41:S42"/>
    <mergeCell ref="T41:T42"/>
    <mergeCell ref="A49:A50"/>
    <mergeCell ref="B49:B50"/>
    <mergeCell ref="C49:C50"/>
    <mergeCell ref="D49:D50"/>
    <mergeCell ref="E49:E50"/>
    <mergeCell ref="F49:F50"/>
    <mergeCell ref="B45:T45"/>
    <mergeCell ref="C46:T46"/>
    <mergeCell ref="A47:A48"/>
    <mergeCell ref="B47:B48"/>
    <mergeCell ref="C47:C48"/>
    <mergeCell ref="D47:D48"/>
    <mergeCell ref="E47:E48"/>
    <mergeCell ref="F47:F48"/>
    <mergeCell ref="O47:O48"/>
    <mergeCell ref="P47:P48"/>
    <mergeCell ref="A43:A44"/>
    <mergeCell ref="B43:B44"/>
    <mergeCell ref="C43:C44"/>
    <mergeCell ref="D43:D44"/>
    <mergeCell ref="E43:E44"/>
    <mergeCell ref="F43:F44"/>
    <mergeCell ref="T34:T39"/>
    <mergeCell ref="C40:T40"/>
    <mergeCell ref="A41:A42"/>
    <mergeCell ref="B41:B42"/>
    <mergeCell ref="C41:C42"/>
    <mergeCell ref="D41:D42"/>
    <mergeCell ref="E41:E42"/>
    <mergeCell ref="F41:F42"/>
    <mergeCell ref="O41:O42"/>
    <mergeCell ref="P41:P42"/>
    <mergeCell ref="A34:A39"/>
    <mergeCell ref="B34:B39"/>
    <mergeCell ref="C34:C39"/>
    <mergeCell ref="D34:D39"/>
    <mergeCell ref="E34:E39"/>
    <mergeCell ref="F34:F39"/>
    <mergeCell ref="O43:O44"/>
    <mergeCell ref="P43:P44"/>
    <mergeCell ref="O32:O33"/>
    <mergeCell ref="P32:P33"/>
    <mergeCell ref="Q32:Q33"/>
    <mergeCell ref="R32:R33"/>
    <mergeCell ref="S32:S33"/>
    <mergeCell ref="T32:T33"/>
    <mergeCell ref="A32:A33"/>
    <mergeCell ref="B32:B33"/>
    <mergeCell ref="C32:C33"/>
    <mergeCell ref="D32:D33"/>
    <mergeCell ref="E32:E33"/>
    <mergeCell ref="F32:F33"/>
    <mergeCell ref="T27:T28"/>
    <mergeCell ref="A29:A30"/>
    <mergeCell ref="B29:B30"/>
    <mergeCell ref="C29:C30"/>
    <mergeCell ref="D29:D30"/>
    <mergeCell ref="E29:E30"/>
    <mergeCell ref="F29:F30"/>
    <mergeCell ref="T29:T30"/>
    <mergeCell ref="A27:A28"/>
    <mergeCell ref="B27:B28"/>
    <mergeCell ref="C27:C28"/>
    <mergeCell ref="D27:D28"/>
    <mergeCell ref="E27:E28"/>
    <mergeCell ref="F27:F28"/>
    <mergeCell ref="T23:T26"/>
    <mergeCell ref="O25:O26"/>
    <mergeCell ref="P25:P26"/>
    <mergeCell ref="Q25:Q26"/>
    <mergeCell ref="R25:R26"/>
    <mergeCell ref="S25:S26"/>
    <mergeCell ref="R19:R21"/>
    <mergeCell ref="S19:S21"/>
    <mergeCell ref="T19:T21"/>
    <mergeCell ref="C22:T22"/>
    <mergeCell ref="A23:A26"/>
    <mergeCell ref="B23:B26"/>
    <mergeCell ref="C23:C26"/>
    <mergeCell ref="D23:D26"/>
    <mergeCell ref="E23:E26"/>
    <mergeCell ref="F23:F26"/>
    <mergeCell ref="S17:S18"/>
    <mergeCell ref="A19:A21"/>
    <mergeCell ref="B19:B21"/>
    <mergeCell ref="C19:C21"/>
    <mergeCell ref="D19:D21"/>
    <mergeCell ref="E19:E21"/>
    <mergeCell ref="F19:F21"/>
    <mergeCell ref="O19:O21"/>
    <mergeCell ref="P19:P21"/>
    <mergeCell ref="Q19:Q21"/>
    <mergeCell ref="A15:A18"/>
    <mergeCell ref="B15:B18"/>
    <mergeCell ref="C15:C18"/>
    <mergeCell ref="D15:D18"/>
    <mergeCell ref="E15:E18"/>
    <mergeCell ref="F15:F18"/>
    <mergeCell ref="O15:O16"/>
    <mergeCell ref="P15:P16"/>
    <mergeCell ref="Q15:Q16"/>
    <mergeCell ref="R15:R16"/>
    <mergeCell ref="S15:S16"/>
    <mergeCell ref="T15:T18"/>
    <mergeCell ref="O17:O18"/>
    <mergeCell ref="P17:P18"/>
    <mergeCell ref="Q17:Q18"/>
    <mergeCell ref="R17:R18"/>
    <mergeCell ref="A2:A4"/>
    <mergeCell ref="B2:B4"/>
    <mergeCell ref="C2:C4"/>
    <mergeCell ref="D2:D4"/>
    <mergeCell ref="E2:E4"/>
    <mergeCell ref="F2:F4"/>
    <mergeCell ref="B11:T11"/>
    <mergeCell ref="O13:O14"/>
    <mergeCell ref="P13:P14"/>
    <mergeCell ref="Q13:Q14"/>
    <mergeCell ref="R13:R14"/>
    <mergeCell ref="S13:S14"/>
    <mergeCell ref="O9:O10"/>
    <mergeCell ref="P9:P10"/>
    <mergeCell ref="Q9:Q10"/>
    <mergeCell ref="R9:R10"/>
    <mergeCell ref="T2:T4"/>
    <mergeCell ref="H3:H4"/>
    <mergeCell ref="I3:K3"/>
    <mergeCell ref="Q3:S3"/>
    <mergeCell ref="G2:G4"/>
    <mergeCell ref="H2:K2"/>
    <mergeCell ref="L2:L4"/>
    <mergeCell ref="M2:M4"/>
    <mergeCell ref="N2:N4"/>
    <mergeCell ref="O2:S2"/>
    <mergeCell ref="C12:T12"/>
    <mergeCell ref="A13:A14"/>
    <mergeCell ref="B13:B14"/>
    <mergeCell ref="C13:C14"/>
    <mergeCell ref="D13:D14"/>
    <mergeCell ref="E13:E14"/>
    <mergeCell ref="F13:F14"/>
    <mergeCell ref="T13:T14"/>
    <mergeCell ref="A9:A10"/>
    <mergeCell ref="B9:B10"/>
    <mergeCell ref="C9:C10"/>
    <mergeCell ref="D9:D10"/>
    <mergeCell ref="E9:E10"/>
    <mergeCell ref="F9:F10"/>
    <mergeCell ref="S9:S10"/>
    <mergeCell ref="T9:T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7C900-3820-4684-A622-A43025B742B3}">
  <dimension ref="A2:U230"/>
  <sheetViews>
    <sheetView topLeftCell="A16" workbookViewId="0">
      <selection activeCell="H32" sqref="H32"/>
    </sheetView>
  </sheetViews>
  <sheetFormatPr defaultColWidth="9.140625" defaultRowHeight="15" outlineLevelCol="1" x14ac:dyDescent="0.2"/>
  <cols>
    <col min="1" max="2" width="4.42578125" style="299" customWidth="1"/>
    <col min="3" max="3" width="4.42578125" style="300" customWidth="1"/>
    <col min="4" max="4" width="43.85546875" style="301" customWidth="1"/>
    <col min="5" max="5" width="11.140625" style="302" customWidth="1"/>
    <col min="6" max="6" width="10.5703125" style="301" customWidth="1"/>
    <col min="7" max="7" width="6" style="303" customWidth="1" outlineLevel="1"/>
    <col min="8" max="8" width="13.5703125" style="43" customWidth="1" outlineLevel="1"/>
    <col min="9" max="9" width="9.85546875" style="43" hidden="1" customWidth="1" outlineLevel="1"/>
    <col min="10" max="10" width="7.85546875" style="43" hidden="1" customWidth="1" outlineLevel="1"/>
    <col min="11" max="11" width="8.5703125" style="43" hidden="1" customWidth="1" outlineLevel="1"/>
    <col min="12" max="12" width="7.42578125" style="43" customWidth="1" outlineLevel="1"/>
    <col min="13" max="13" width="7.140625" style="43" customWidth="1" outlineLevel="1"/>
    <col min="14" max="14" width="9" style="43" customWidth="1" outlineLevel="1"/>
    <col min="15" max="15" width="26.85546875" style="43" customWidth="1"/>
    <col min="16" max="16" width="8.42578125" style="43" customWidth="1"/>
    <col min="17" max="18" width="6.140625" style="43" customWidth="1"/>
    <col min="19" max="19" width="6.5703125" style="43" customWidth="1"/>
    <col min="20" max="20" width="23.42578125" style="305" customWidth="1"/>
    <col min="21" max="16384" width="9.140625" style="43"/>
  </cols>
  <sheetData>
    <row r="2" spans="1:21" ht="12.75" customHeight="1" x14ac:dyDescent="0.25">
      <c r="A2" s="816" t="s">
        <v>13</v>
      </c>
      <c r="B2" s="756" t="s">
        <v>14</v>
      </c>
      <c r="C2" s="757" t="s">
        <v>15</v>
      </c>
      <c r="D2" s="782" t="s">
        <v>16</v>
      </c>
      <c r="E2" s="533" t="s">
        <v>17</v>
      </c>
      <c r="F2" s="524" t="s">
        <v>18</v>
      </c>
      <c r="G2" s="524" t="s">
        <v>19</v>
      </c>
      <c r="H2" s="529" t="s">
        <v>20</v>
      </c>
      <c r="I2" s="528"/>
      <c r="J2" s="528"/>
      <c r="K2" s="528"/>
      <c r="L2" s="524" t="s">
        <v>21</v>
      </c>
      <c r="M2" s="524" t="s">
        <v>22</v>
      </c>
      <c r="N2" s="821" t="s">
        <v>23</v>
      </c>
      <c r="O2" s="475" t="s">
        <v>24</v>
      </c>
      <c r="P2" s="475"/>
      <c r="Q2" s="475"/>
      <c r="R2" s="475"/>
      <c r="S2" s="475"/>
      <c r="T2" s="817" t="s">
        <v>25</v>
      </c>
    </row>
    <row r="3" spans="1:21" ht="15" customHeight="1" x14ac:dyDescent="0.2">
      <c r="A3" s="816"/>
      <c r="B3" s="756"/>
      <c r="C3" s="757"/>
      <c r="D3" s="782"/>
      <c r="E3" s="534"/>
      <c r="F3" s="528"/>
      <c r="G3" s="528"/>
      <c r="H3" s="524" t="s">
        <v>23</v>
      </c>
      <c r="I3" s="525" t="s">
        <v>26</v>
      </c>
      <c r="J3" s="525"/>
      <c r="K3" s="525"/>
      <c r="L3" s="528"/>
      <c r="M3" s="528"/>
      <c r="N3" s="821"/>
      <c r="O3" s="71"/>
      <c r="P3" s="67"/>
      <c r="Q3" s="475" t="s">
        <v>27</v>
      </c>
      <c r="R3" s="475"/>
      <c r="S3" s="475"/>
      <c r="T3" s="817"/>
    </row>
    <row r="4" spans="1:21" ht="59.1" customHeight="1" x14ac:dyDescent="0.2">
      <c r="A4" s="816"/>
      <c r="B4" s="756"/>
      <c r="C4" s="757"/>
      <c r="D4" s="782"/>
      <c r="E4" s="534"/>
      <c r="F4" s="528"/>
      <c r="G4" s="528"/>
      <c r="H4" s="524"/>
      <c r="I4" s="21" t="s">
        <v>23</v>
      </c>
      <c r="J4" s="21" t="s">
        <v>28</v>
      </c>
      <c r="K4" s="21" t="s">
        <v>29</v>
      </c>
      <c r="L4" s="528"/>
      <c r="M4" s="528"/>
      <c r="N4" s="821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817"/>
    </row>
    <row r="5" spans="1:21" ht="14.25" x14ac:dyDescent="0.2">
      <c r="A5" s="288" t="s">
        <v>502</v>
      </c>
      <c r="B5" s="289"/>
      <c r="C5" s="289"/>
      <c r="D5" s="290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91"/>
    </row>
    <row r="6" spans="1:21" ht="14.25" x14ac:dyDescent="0.2">
      <c r="A6" s="292" t="s">
        <v>36</v>
      </c>
      <c r="B6" s="592" t="s">
        <v>503</v>
      </c>
      <c r="C6" s="593"/>
      <c r="D6" s="593"/>
      <c r="E6" s="593"/>
      <c r="F6" s="593"/>
      <c r="G6" s="593"/>
      <c r="H6" s="593"/>
      <c r="I6" s="593"/>
      <c r="J6" s="593"/>
      <c r="K6" s="593"/>
      <c r="L6" s="593"/>
      <c r="M6" s="593"/>
      <c r="N6" s="593"/>
      <c r="O6" s="593"/>
      <c r="P6" s="593"/>
      <c r="Q6" s="593"/>
      <c r="R6" s="593"/>
      <c r="S6" s="593"/>
      <c r="T6" s="594"/>
    </row>
    <row r="7" spans="1:21" x14ac:dyDescent="0.2">
      <c r="A7" s="293" t="s">
        <v>36</v>
      </c>
      <c r="B7" s="110" t="s">
        <v>36</v>
      </c>
      <c r="C7" s="818" t="s">
        <v>504</v>
      </c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19"/>
      <c r="R7" s="819"/>
      <c r="S7" s="819"/>
      <c r="T7" s="820"/>
    </row>
    <row r="8" spans="1:21" ht="12.75" x14ac:dyDescent="0.2">
      <c r="A8" s="493" t="s">
        <v>36</v>
      </c>
      <c r="B8" s="442" t="s">
        <v>36</v>
      </c>
      <c r="C8" s="452" t="s">
        <v>494</v>
      </c>
      <c r="D8" s="782" t="s">
        <v>505</v>
      </c>
      <c r="E8" s="430" t="s">
        <v>114</v>
      </c>
      <c r="F8" s="432">
        <v>188718713</v>
      </c>
      <c r="G8" s="41" t="s">
        <v>141</v>
      </c>
      <c r="H8" s="207">
        <v>58.9</v>
      </c>
      <c r="I8" s="42"/>
      <c r="J8" s="42"/>
      <c r="K8" s="42"/>
      <c r="L8" s="7">
        <v>0</v>
      </c>
      <c r="M8" s="7">
        <v>0</v>
      </c>
      <c r="N8" s="42">
        <f>H8+L8+M8</f>
        <v>58.9</v>
      </c>
      <c r="O8" s="754" t="s">
        <v>506</v>
      </c>
      <c r="P8" s="384" t="s">
        <v>62</v>
      </c>
      <c r="Q8" s="384">
        <v>1</v>
      </c>
      <c r="R8" s="384">
        <v>0</v>
      </c>
      <c r="S8" s="384">
        <v>0</v>
      </c>
      <c r="T8" s="403" t="s">
        <v>507</v>
      </c>
    </row>
    <row r="9" spans="1:21" ht="12.75" x14ac:dyDescent="0.2">
      <c r="A9" s="493"/>
      <c r="B9" s="442"/>
      <c r="C9" s="452"/>
      <c r="D9" s="782"/>
      <c r="E9" s="430"/>
      <c r="F9" s="432"/>
      <c r="G9" s="41" t="s">
        <v>149</v>
      </c>
      <c r="H9" s="207">
        <v>5.2</v>
      </c>
      <c r="I9" s="42"/>
      <c r="J9" s="42"/>
      <c r="K9" s="42"/>
      <c r="L9" s="7">
        <v>0</v>
      </c>
      <c r="M9" s="7">
        <v>0</v>
      </c>
      <c r="N9" s="42">
        <f>H9+L9+M9</f>
        <v>5.2</v>
      </c>
      <c r="O9" s="822"/>
      <c r="P9" s="417"/>
      <c r="Q9" s="417"/>
      <c r="R9" s="417"/>
      <c r="S9" s="417"/>
      <c r="T9" s="403"/>
    </row>
    <row r="10" spans="1:21" ht="12.75" x14ac:dyDescent="0.2">
      <c r="A10" s="493"/>
      <c r="B10" s="442"/>
      <c r="C10" s="452"/>
      <c r="D10" s="782"/>
      <c r="E10" s="430"/>
      <c r="F10" s="432"/>
      <c r="G10" s="41" t="s">
        <v>40</v>
      </c>
      <c r="H10" s="42">
        <v>5.2</v>
      </c>
      <c r="I10" s="42"/>
      <c r="J10" s="42"/>
      <c r="K10" s="42"/>
      <c r="L10" s="7">
        <v>0</v>
      </c>
      <c r="M10" s="7">
        <v>0</v>
      </c>
      <c r="N10" s="42">
        <f>H10+L10+M10</f>
        <v>5.2</v>
      </c>
      <c r="O10" s="822"/>
      <c r="P10" s="417"/>
      <c r="Q10" s="417"/>
      <c r="R10" s="417"/>
      <c r="S10" s="417"/>
      <c r="T10" s="403"/>
    </row>
    <row r="11" spans="1:21" ht="12.75" x14ac:dyDescent="0.2">
      <c r="A11" s="493"/>
      <c r="B11" s="442"/>
      <c r="C11" s="452"/>
      <c r="D11" s="782"/>
      <c r="E11" s="430"/>
      <c r="F11" s="432"/>
      <c r="G11" s="44" t="s">
        <v>23</v>
      </c>
      <c r="H11" s="45">
        <f>+H8+H9+H10</f>
        <v>69.3</v>
      </c>
      <c r="I11" s="45">
        <f t="shared" ref="I11:N11" si="0">+I8+I9</f>
        <v>0</v>
      </c>
      <c r="J11" s="45">
        <f t="shared" si="0"/>
        <v>0</v>
      </c>
      <c r="K11" s="45">
        <f t="shared" si="0"/>
        <v>0</v>
      </c>
      <c r="L11" s="45">
        <f t="shared" si="0"/>
        <v>0</v>
      </c>
      <c r="M11" s="45">
        <f t="shared" si="0"/>
        <v>0</v>
      </c>
      <c r="N11" s="45">
        <f t="shared" si="0"/>
        <v>64.099999999999994</v>
      </c>
      <c r="O11" s="755"/>
      <c r="P11" s="386"/>
      <c r="Q11" s="386"/>
      <c r="R11" s="386"/>
      <c r="S11" s="386"/>
      <c r="T11" s="403"/>
    </row>
    <row r="12" spans="1:21" ht="14.1" customHeight="1" x14ac:dyDescent="0.2">
      <c r="A12" s="800" t="s">
        <v>36</v>
      </c>
      <c r="B12" s="833" t="s">
        <v>36</v>
      </c>
      <c r="C12" s="836" t="s">
        <v>327</v>
      </c>
      <c r="D12" s="839" t="s">
        <v>508</v>
      </c>
      <c r="E12" s="842" t="s">
        <v>114</v>
      </c>
      <c r="F12" s="842">
        <v>188718713</v>
      </c>
      <c r="G12" s="41" t="s">
        <v>141</v>
      </c>
      <c r="H12" s="42">
        <v>0</v>
      </c>
      <c r="I12" s="42"/>
      <c r="J12" s="42"/>
      <c r="K12" s="42"/>
      <c r="L12" s="7">
        <v>0</v>
      </c>
      <c r="M12" s="7">
        <v>0</v>
      </c>
      <c r="N12" s="42">
        <f>H12+L12+M12</f>
        <v>0</v>
      </c>
      <c r="O12" s="462" t="s">
        <v>509</v>
      </c>
      <c r="P12" s="536" t="s">
        <v>62</v>
      </c>
      <c r="Q12" s="536">
        <v>0</v>
      </c>
      <c r="R12" s="536">
        <v>0</v>
      </c>
      <c r="S12" s="536">
        <v>0</v>
      </c>
      <c r="T12" s="829" t="s">
        <v>138</v>
      </c>
      <c r="U12" s="823"/>
    </row>
    <row r="13" spans="1:21" ht="14.1" customHeight="1" x14ac:dyDescent="0.2">
      <c r="A13" s="832"/>
      <c r="B13" s="834"/>
      <c r="C13" s="837"/>
      <c r="D13" s="840"/>
      <c r="E13" s="843"/>
      <c r="F13" s="843"/>
      <c r="G13" s="41" t="s">
        <v>40</v>
      </c>
      <c r="H13" s="42">
        <v>0</v>
      </c>
      <c r="I13" s="42"/>
      <c r="J13" s="42"/>
      <c r="K13" s="42"/>
      <c r="L13" s="7"/>
      <c r="M13" s="7"/>
      <c r="N13" s="42"/>
      <c r="O13" s="631"/>
      <c r="P13" s="547"/>
      <c r="Q13" s="547"/>
      <c r="R13" s="547"/>
      <c r="S13" s="547"/>
      <c r="T13" s="830"/>
      <c r="U13" s="823"/>
    </row>
    <row r="14" spans="1:21" ht="38.25" customHeight="1" x14ac:dyDescent="0.2">
      <c r="A14" s="801"/>
      <c r="B14" s="835"/>
      <c r="C14" s="838"/>
      <c r="D14" s="841"/>
      <c r="E14" s="844"/>
      <c r="F14" s="844"/>
      <c r="G14" s="44" t="s">
        <v>23</v>
      </c>
      <c r="H14" s="45">
        <f>+H12+H13</f>
        <v>0</v>
      </c>
      <c r="I14" s="45">
        <f t="shared" ref="I14:N14" si="1">+I11+I12</f>
        <v>0</v>
      </c>
      <c r="J14" s="45">
        <f t="shared" si="1"/>
        <v>0</v>
      </c>
      <c r="K14" s="45">
        <f t="shared" si="1"/>
        <v>0</v>
      </c>
      <c r="L14" s="45">
        <f t="shared" ref="L14:M14" si="2">+L12+L13</f>
        <v>0</v>
      </c>
      <c r="M14" s="45">
        <f t="shared" si="2"/>
        <v>0</v>
      </c>
      <c r="N14" s="45">
        <f t="shared" si="1"/>
        <v>64.099999999999994</v>
      </c>
      <c r="O14" s="463"/>
      <c r="P14" s="537"/>
      <c r="Q14" s="537"/>
      <c r="R14" s="537"/>
      <c r="S14" s="537"/>
      <c r="T14" s="831"/>
      <c r="U14" s="823"/>
    </row>
    <row r="15" spans="1:21" ht="14.25" customHeight="1" x14ac:dyDescent="0.2">
      <c r="A15" s="293" t="s">
        <v>36</v>
      </c>
      <c r="B15" s="110" t="s">
        <v>46</v>
      </c>
      <c r="C15" s="818" t="s">
        <v>510</v>
      </c>
      <c r="D15" s="819"/>
      <c r="E15" s="819"/>
      <c r="F15" s="819"/>
      <c r="G15" s="819"/>
      <c r="H15" s="819"/>
      <c r="I15" s="819"/>
      <c r="J15" s="819"/>
      <c r="K15" s="819"/>
      <c r="L15" s="819"/>
      <c r="M15" s="819"/>
      <c r="N15" s="819"/>
      <c r="O15" s="819"/>
      <c r="P15" s="819"/>
      <c r="Q15" s="819"/>
      <c r="R15" s="819"/>
      <c r="S15" s="819"/>
      <c r="T15" s="820"/>
    </row>
    <row r="16" spans="1:21" ht="14.25" customHeight="1" x14ac:dyDescent="0.2">
      <c r="A16" s="294" t="s">
        <v>36</v>
      </c>
      <c r="B16" s="110" t="s">
        <v>50</v>
      </c>
      <c r="C16" s="824" t="s">
        <v>511</v>
      </c>
      <c r="D16" s="824"/>
      <c r="E16" s="824"/>
      <c r="F16" s="824"/>
      <c r="G16" s="824"/>
      <c r="H16" s="824"/>
      <c r="I16" s="824"/>
      <c r="J16" s="824"/>
      <c r="K16" s="824"/>
      <c r="L16" s="824"/>
      <c r="M16" s="824"/>
      <c r="N16" s="824"/>
      <c r="O16" s="824"/>
      <c r="P16" s="824"/>
      <c r="Q16" s="824"/>
      <c r="R16" s="824"/>
      <c r="S16" s="824"/>
      <c r="T16" s="825"/>
    </row>
    <row r="17" spans="1:20" x14ac:dyDescent="0.2">
      <c r="A17" s="493" t="s">
        <v>36</v>
      </c>
      <c r="B17" s="729" t="s">
        <v>50</v>
      </c>
      <c r="C17" s="787"/>
      <c r="D17" s="827"/>
      <c r="E17" s="787" t="s">
        <v>36</v>
      </c>
      <c r="F17" s="397">
        <v>188718713</v>
      </c>
      <c r="G17" s="44" t="s">
        <v>40</v>
      </c>
      <c r="H17" s="295"/>
      <c r="I17" s="295"/>
      <c r="J17" s="295"/>
      <c r="K17" s="295"/>
      <c r="L17" s="295">
        <f>SUM(+(H17*0.05)+H17)</f>
        <v>0</v>
      </c>
      <c r="M17" s="295">
        <f>SUM(+(L17*0.05)+L17)</f>
        <v>0</v>
      </c>
      <c r="N17" s="295">
        <f>SUM(H17+L17+M17)</f>
        <v>0</v>
      </c>
      <c r="O17" s="273"/>
      <c r="P17" s="88"/>
      <c r="Q17" s="88"/>
      <c r="R17" s="88"/>
      <c r="S17" s="88"/>
      <c r="T17" s="737" t="s">
        <v>138</v>
      </c>
    </row>
    <row r="18" spans="1:20" x14ac:dyDescent="0.2">
      <c r="A18" s="493"/>
      <c r="B18" s="740"/>
      <c r="C18" s="826"/>
      <c r="D18" s="828"/>
      <c r="E18" s="826"/>
      <c r="F18" s="398"/>
      <c r="G18" s="44" t="s">
        <v>23</v>
      </c>
      <c r="H18" s="296">
        <f>SUM(H17)</f>
        <v>0</v>
      </c>
      <c r="I18" s="296">
        <f t="shared" ref="I18:N18" si="3">SUM(I17)</f>
        <v>0</v>
      </c>
      <c r="J18" s="296">
        <f t="shared" si="3"/>
        <v>0</v>
      </c>
      <c r="K18" s="296">
        <f t="shared" si="3"/>
        <v>0</v>
      </c>
      <c r="L18" s="296">
        <f t="shared" si="3"/>
        <v>0</v>
      </c>
      <c r="M18" s="296">
        <f t="shared" si="3"/>
        <v>0</v>
      </c>
      <c r="N18" s="296">
        <f t="shared" si="3"/>
        <v>0</v>
      </c>
      <c r="O18" s="273"/>
      <c r="P18" s="88"/>
      <c r="Q18" s="88"/>
      <c r="R18" s="88"/>
      <c r="S18" s="88"/>
      <c r="T18" s="753"/>
    </row>
    <row r="19" spans="1:20" ht="14.25" customHeight="1" x14ac:dyDescent="0.2">
      <c r="A19" s="294" t="s">
        <v>36</v>
      </c>
      <c r="B19" s="110" t="s">
        <v>55</v>
      </c>
      <c r="C19" s="824" t="s">
        <v>512</v>
      </c>
      <c r="D19" s="824"/>
      <c r="E19" s="824"/>
      <c r="F19" s="824"/>
      <c r="G19" s="824"/>
      <c r="H19" s="824"/>
      <c r="I19" s="824"/>
      <c r="J19" s="824"/>
      <c r="K19" s="824"/>
      <c r="L19" s="824"/>
      <c r="M19" s="824"/>
      <c r="N19" s="824"/>
      <c r="O19" s="824"/>
      <c r="P19" s="824"/>
      <c r="Q19" s="824"/>
      <c r="R19" s="824"/>
      <c r="S19" s="824"/>
      <c r="T19" s="825"/>
    </row>
    <row r="20" spans="1:20" ht="14.1" customHeight="1" x14ac:dyDescent="0.2">
      <c r="A20" s="493" t="s">
        <v>36</v>
      </c>
      <c r="B20" s="729" t="s">
        <v>55</v>
      </c>
      <c r="C20" s="787" t="s">
        <v>36</v>
      </c>
      <c r="D20" s="795" t="s">
        <v>513</v>
      </c>
      <c r="E20" s="787" t="s">
        <v>36</v>
      </c>
      <c r="F20" s="397">
        <v>188718713</v>
      </c>
      <c r="G20" s="44" t="s">
        <v>40</v>
      </c>
      <c r="H20" s="295">
        <v>76.599999999999994</v>
      </c>
      <c r="I20" s="295"/>
      <c r="J20" s="295"/>
      <c r="K20" s="295"/>
      <c r="L20" s="295">
        <v>0</v>
      </c>
      <c r="M20" s="295">
        <f>SUM(+(L20*0.05)+L20)</f>
        <v>0</v>
      </c>
      <c r="N20" s="295">
        <f>SUM(H20+L20+M20)</f>
        <v>76.599999999999994</v>
      </c>
      <c r="O20" s="754" t="s">
        <v>506</v>
      </c>
      <c r="P20" s="88" t="s">
        <v>62</v>
      </c>
      <c r="Q20" s="88">
        <v>1</v>
      </c>
      <c r="R20" s="88">
        <v>0</v>
      </c>
      <c r="S20" s="88">
        <v>0</v>
      </c>
      <c r="T20" s="737"/>
    </row>
    <row r="21" spans="1:20" ht="14.25" customHeight="1" x14ac:dyDescent="0.2">
      <c r="A21" s="493"/>
      <c r="B21" s="740"/>
      <c r="C21" s="826"/>
      <c r="D21" s="845"/>
      <c r="E21" s="826"/>
      <c r="F21" s="398"/>
      <c r="G21" s="44" t="s">
        <v>23</v>
      </c>
      <c r="H21" s="307">
        <f>SUM(H20)</f>
        <v>76.599999999999994</v>
      </c>
      <c r="I21" s="296">
        <f t="shared" ref="I21:N21" si="4">SUM(I20)</f>
        <v>0</v>
      </c>
      <c r="J21" s="296">
        <f t="shared" si="4"/>
        <v>0</v>
      </c>
      <c r="K21" s="296">
        <f t="shared" si="4"/>
        <v>0</v>
      </c>
      <c r="L21" s="307">
        <f t="shared" si="4"/>
        <v>0</v>
      </c>
      <c r="M21" s="307">
        <f t="shared" si="4"/>
        <v>0</v>
      </c>
      <c r="N21" s="307">
        <f t="shared" si="4"/>
        <v>76.599999999999994</v>
      </c>
      <c r="O21" s="755"/>
      <c r="P21" s="88"/>
      <c r="Q21" s="88"/>
      <c r="R21" s="88"/>
      <c r="S21" s="88"/>
      <c r="T21" s="753"/>
    </row>
    <row r="22" spans="1:20" x14ac:dyDescent="0.2">
      <c r="A22" s="727" t="s">
        <v>36</v>
      </c>
      <c r="B22" s="729" t="s">
        <v>55</v>
      </c>
      <c r="C22" s="787" t="s">
        <v>46</v>
      </c>
      <c r="D22" s="787" t="s">
        <v>514</v>
      </c>
      <c r="E22" s="787" t="s">
        <v>36</v>
      </c>
      <c r="F22" s="397">
        <v>188718713</v>
      </c>
      <c r="G22" s="44" t="s">
        <v>40</v>
      </c>
      <c r="H22" s="295">
        <v>21.5</v>
      </c>
      <c r="I22" s="295"/>
      <c r="J22" s="295"/>
      <c r="K22" s="295">
        <v>21.5</v>
      </c>
      <c r="L22" s="295">
        <f>SUM(+(H22*0.05)+H22)</f>
        <v>22.574999999999999</v>
      </c>
      <c r="M22" s="295">
        <f>SUM(+(L22*0.05)+L22)</f>
        <v>23.703749999999999</v>
      </c>
      <c r="N22" s="295">
        <f>SUM(H22+L22+M22)</f>
        <v>67.778750000000002</v>
      </c>
      <c r="O22" s="754" t="s">
        <v>506</v>
      </c>
      <c r="P22" s="384" t="s">
        <v>62</v>
      </c>
      <c r="Q22" s="384">
        <v>1</v>
      </c>
      <c r="R22" s="384">
        <v>1</v>
      </c>
      <c r="S22" s="384">
        <v>0</v>
      </c>
      <c r="T22" s="737" t="s">
        <v>138</v>
      </c>
    </row>
    <row r="23" spans="1:20" ht="14.25" customHeight="1" x14ac:dyDescent="0.2">
      <c r="A23" s="728"/>
      <c r="B23" s="730"/>
      <c r="C23" s="788"/>
      <c r="D23" s="788"/>
      <c r="E23" s="788"/>
      <c r="F23" s="457"/>
      <c r="G23" s="369" t="s">
        <v>23</v>
      </c>
      <c r="H23" s="370">
        <f t="shared" ref="H23:N23" si="5">SUM(H22)</f>
        <v>21.5</v>
      </c>
      <c r="I23" s="371">
        <f t="shared" si="5"/>
        <v>0</v>
      </c>
      <c r="J23" s="371">
        <f t="shared" si="5"/>
        <v>0</v>
      </c>
      <c r="K23" s="371">
        <f t="shared" si="5"/>
        <v>21.5</v>
      </c>
      <c r="L23" s="370">
        <f t="shared" si="5"/>
        <v>22.574999999999999</v>
      </c>
      <c r="M23" s="370">
        <f t="shared" si="5"/>
        <v>23.703749999999999</v>
      </c>
      <c r="N23" s="370">
        <f t="shared" si="5"/>
        <v>67.778750000000002</v>
      </c>
      <c r="O23" s="822"/>
      <c r="P23" s="417"/>
      <c r="Q23" s="417"/>
      <c r="R23" s="417"/>
      <c r="S23" s="417"/>
      <c r="T23" s="738"/>
    </row>
    <row r="24" spans="1:20" ht="14.25" customHeight="1" x14ac:dyDescent="0.2">
      <c r="A24" s="727" t="s">
        <v>36</v>
      </c>
      <c r="B24" s="729" t="s">
        <v>55</v>
      </c>
      <c r="C24" s="787" t="s">
        <v>50</v>
      </c>
      <c r="D24" s="780" t="s">
        <v>515</v>
      </c>
      <c r="E24" s="787" t="s">
        <v>36</v>
      </c>
      <c r="F24" s="397">
        <v>188718713</v>
      </c>
      <c r="G24" s="44" t="s">
        <v>40</v>
      </c>
      <c r="H24" s="295">
        <v>0</v>
      </c>
      <c r="I24" s="295"/>
      <c r="J24" s="295"/>
      <c r="K24" s="295">
        <v>21.5</v>
      </c>
      <c r="L24" s="295">
        <f>SUM(+(H24*0.05)+H24)</f>
        <v>0</v>
      </c>
      <c r="M24" s="295">
        <f>SUM(+(L24*0.05)+L24)</f>
        <v>0</v>
      </c>
      <c r="N24" s="295">
        <f>SUM(H24+L24+M24)</f>
        <v>0</v>
      </c>
      <c r="O24" s="754" t="s">
        <v>506</v>
      </c>
      <c r="P24" s="384" t="s">
        <v>62</v>
      </c>
      <c r="Q24" s="384">
        <v>0</v>
      </c>
      <c r="R24" s="384">
        <v>1</v>
      </c>
      <c r="S24" s="384">
        <v>0</v>
      </c>
      <c r="T24" s="737" t="s">
        <v>138</v>
      </c>
    </row>
    <row r="25" spans="1:20" ht="14.25" customHeight="1" x14ac:dyDescent="0.2">
      <c r="A25" s="739"/>
      <c r="B25" s="740"/>
      <c r="C25" s="826"/>
      <c r="D25" s="826"/>
      <c r="E25" s="826"/>
      <c r="F25" s="398"/>
      <c r="G25" s="44" t="s">
        <v>23</v>
      </c>
      <c r="H25" s="306">
        <f t="shared" ref="H25:N25" si="6">SUM(H24)</f>
        <v>0</v>
      </c>
      <c r="I25" s="371">
        <f t="shared" si="6"/>
        <v>0</v>
      </c>
      <c r="J25" s="371">
        <f t="shared" si="6"/>
        <v>0</v>
      </c>
      <c r="K25" s="371">
        <f t="shared" si="6"/>
        <v>21.5</v>
      </c>
      <c r="L25" s="370">
        <f t="shared" si="6"/>
        <v>0</v>
      </c>
      <c r="M25" s="370">
        <f t="shared" si="6"/>
        <v>0</v>
      </c>
      <c r="N25" s="370">
        <f t="shared" si="6"/>
        <v>0</v>
      </c>
      <c r="O25" s="755"/>
      <c r="P25" s="386"/>
      <c r="Q25" s="386"/>
      <c r="R25" s="386"/>
      <c r="S25" s="386"/>
      <c r="T25" s="753"/>
    </row>
    <row r="26" spans="1:20" ht="14.25" customHeight="1" x14ac:dyDescent="0.2">
      <c r="A26" s="372" t="s">
        <v>46</v>
      </c>
      <c r="B26" s="373" t="s">
        <v>516</v>
      </c>
      <c r="C26" s="374"/>
      <c r="D26" s="374"/>
      <c r="E26" s="374"/>
      <c r="F26" s="374"/>
      <c r="G26" s="374"/>
      <c r="H26" s="374"/>
      <c r="I26" s="374"/>
      <c r="J26" s="374"/>
      <c r="K26" s="374"/>
      <c r="L26" s="374"/>
      <c r="M26" s="374"/>
      <c r="N26" s="374"/>
      <c r="O26" s="374"/>
      <c r="P26" s="374"/>
      <c r="Q26" s="374"/>
      <c r="R26" s="374"/>
      <c r="S26" s="374"/>
      <c r="T26" s="375"/>
    </row>
    <row r="27" spans="1:20" ht="14.25" customHeight="1" x14ac:dyDescent="0.2">
      <c r="A27" s="293" t="s">
        <v>46</v>
      </c>
      <c r="B27" s="110" t="s">
        <v>36</v>
      </c>
      <c r="C27" s="724" t="s">
        <v>517</v>
      </c>
      <c r="D27" s="725"/>
      <c r="E27" s="725"/>
      <c r="F27" s="725"/>
      <c r="G27" s="725"/>
      <c r="H27" s="725"/>
      <c r="I27" s="725"/>
      <c r="J27" s="725"/>
      <c r="K27" s="725"/>
      <c r="L27" s="725"/>
      <c r="M27" s="725"/>
      <c r="N27" s="725"/>
      <c r="O27" s="725"/>
      <c r="P27" s="725"/>
      <c r="Q27" s="725"/>
      <c r="R27" s="725"/>
      <c r="S27" s="725"/>
      <c r="T27" s="726"/>
    </row>
    <row r="28" spans="1:20" ht="14.25" customHeight="1" x14ac:dyDescent="0.2">
      <c r="A28" s="293" t="s">
        <v>46</v>
      </c>
      <c r="B28" s="110" t="s">
        <v>46</v>
      </c>
      <c r="C28" s="724" t="s">
        <v>518</v>
      </c>
      <c r="D28" s="725"/>
      <c r="E28" s="725"/>
      <c r="F28" s="725"/>
      <c r="G28" s="725"/>
      <c r="H28" s="725"/>
      <c r="I28" s="725"/>
      <c r="J28" s="725"/>
      <c r="K28" s="725"/>
      <c r="L28" s="725"/>
      <c r="M28" s="725"/>
      <c r="N28" s="725"/>
      <c r="O28" s="725"/>
      <c r="P28" s="725"/>
      <c r="Q28" s="725"/>
      <c r="R28" s="725"/>
      <c r="S28" s="725"/>
      <c r="T28" s="726"/>
    </row>
    <row r="29" spans="1:20" ht="13.5" customHeight="1" x14ac:dyDescent="0.2">
      <c r="A29" s="293" t="s">
        <v>46</v>
      </c>
      <c r="B29" s="110" t="s">
        <v>50</v>
      </c>
      <c r="C29" s="724" t="s">
        <v>519</v>
      </c>
      <c r="D29" s="725"/>
      <c r="E29" s="725"/>
      <c r="F29" s="725"/>
      <c r="G29" s="725"/>
      <c r="H29" s="725"/>
      <c r="I29" s="725"/>
      <c r="J29" s="725"/>
      <c r="K29" s="725"/>
      <c r="L29" s="725"/>
      <c r="M29" s="725"/>
      <c r="N29" s="725"/>
      <c r="O29" s="725"/>
      <c r="P29" s="725"/>
      <c r="Q29" s="725"/>
      <c r="R29" s="725"/>
      <c r="S29" s="725"/>
      <c r="T29" s="726"/>
    </row>
    <row r="30" spans="1:20" ht="12.95" customHeight="1" x14ac:dyDescent="0.2">
      <c r="A30" s="493" t="s">
        <v>46</v>
      </c>
      <c r="B30" s="442" t="s">
        <v>50</v>
      </c>
      <c r="C30" s="452" t="s">
        <v>55</v>
      </c>
      <c r="D30" s="782" t="s">
        <v>520</v>
      </c>
      <c r="E30" s="430" t="s">
        <v>66</v>
      </c>
      <c r="F30" s="432">
        <v>188718713</v>
      </c>
      <c r="G30" s="41" t="s">
        <v>141</v>
      </c>
      <c r="H30" s="42"/>
      <c r="I30" s="42"/>
      <c r="J30" s="42"/>
      <c r="K30" s="42"/>
      <c r="L30" s="2">
        <v>0</v>
      </c>
      <c r="M30" s="2">
        <v>0</v>
      </c>
      <c r="N30" s="42">
        <f>H30+L30+M30</f>
        <v>0</v>
      </c>
      <c r="O30" s="273"/>
      <c r="P30" s="88"/>
      <c r="Q30" s="88"/>
      <c r="R30" s="88"/>
      <c r="S30" s="88"/>
      <c r="T30" s="403"/>
    </row>
    <row r="31" spans="1:20" ht="15.75" customHeight="1" x14ac:dyDescent="0.2">
      <c r="A31" s="493"/>
      <c r="B31" s="442"/>
      <c r="C31" s="452"/>
      <c r="D31" s="782"/>
      <c r="E31" s="430"/>
      <c r="F31" s="432"/>
      <c r="G31" s="41" t="s">
        <v>149</v>
      </c>
      <c r="H31" s="42"/>
      <c r="I31" s="42"/>
      <c r="J31" s="42"/>
      <c r="K31" s="42"/>
      <c r="L31" s="2">
        <v>0</v>
      </c>
      <c r="M31" s="2">
        <v>0</v>
      </c>
      <c r="N31" s="42">
        <f>H31+L31+M31</f>
        <v>0</v>
      </c>
      <c r="O31" s="273"/>
      <c r="P31" s="88"/>
      <c r="Q31" s="88"/>
      <c r="R31" s="88"/>
      <c r="S31" s="88"/>
      <c r="T31" s="403"/>
    </row>
    <row r="32" spans="1:20" ht="15.75" customHeight="1" x14ac:dyDescent="0.2">
      <c r="A32" s="493"/>
      <c r="B32" s="442"/>
      <c r="C32" s="452"/>
      <c r="D32" s="782"/>
      <c r="E32" s="430"/>
      <c r="F32" s="432"/>
      <c r="G32" s="41" t="s">
        <v>40</v>
      </c>
      <c r="H32" s="42"/>
      <c r="I32" s="42"/>
      <c r="J32" s="42"/>
      <c r="K32" s="42"/>
      <c r="L32" s="2">
        <f>+(H32*0.05)+H32</f>
        <v>0</v>
      </c>
      <c r="M32" s="2">
        <f>+H32*0.1+H32</f>
        <v>0</v>
      </c>
      <c r="N32" s="42">
        <f>H32+L32+M32</f>
        <v>0</v>
      </c>
      <c r="O32" s="273"/>
      <c r="P32" s="88"/>
      <c r="Q32" s="88"/>
      <c r="R32" s="88"/>
      <c r="S32" s="88"/>
      <c r="T32" s="403"/>
    </row>
    <row r="33" spans="1:20" ht="13.5" customHeight="1" x14ac:dyDescent="0.2">
      <c r="A33" s="493"/>
      <c r="B33" s="442"/>
      <c r="C33" s="452"/>
      <c r="D33" s="782"/>
      <c r="E33" s="430"/>
      <c r="F33" s="432"/>
      <c r="G33" s="44" t="s">
        <v>23</v>
      </c>
      <c r="H33" s="45">
        <f>+H30+H31+H32</f>
        <v>0</v>
      </c>
      <c r="I33" s="45">
        <f t="shared" ref="I33:N33" si="7">+I30+I31+I32</f>
        <v>0</v>
      </c>
      <c r="J33" s="45">
        <f t="shared" si="7"/>
        <v>0</v>
      </c>
      <c r="K33" s="45">
        <f t="shared" si="7"/>
        <v>0</v>
      </c>
      <c r="L33" s="45">
        <f t="shared" si="7"/>
        <v>0</v>
      </c>
      <c r="M33" s="45">
        <f t="shared" si="7"/>
        <v>0</v>
      </c>
      <c r="N33" s="45">
        <f t="shared" si="7"/>
        <v>0</v>
      </c>
      <c r="O33" s="273"/>
      <c r="P33" s="88"/>
      <c r="Q33" s="88"/>
      <c r="R33" s="88"/>
      <c r="S33" s="88"/>
      <c r="T33" s="403"/>
    </row>
    <row r="34" spans="1:20" ht="12.75" x14ac:dyDescent="0.2">
      <c r="A34" s="846" t="s">
        <v>46</v>
      </c>
      <c r="B34" s="847" t="s">
        <v>50</v>
      </c>
      <c r="C34" s="848" t="s">
        <v>107</v>
      </c>
      <c r="D34" s="782" t="s">
        <v>521</v>
      </c>
      <c r="E34" s="452" t="s">
        <v>66</v>
      </c>
      <c r="F34" s="397">
        <v>188718713</v>
      </c>
      <c r="G34" s="41" t="s">
        <v>40</v>
      </c>
      <c r="H34" s="297">
        <v>0</v>
      </c>
      <c r="I34" s="297">
        <v>100</v>
      </c>
      <c r="J34" s="297"/>
      <c r="K34" s="297">
        <v>30</v>
      </c>
      <c r="L34" s="297">
        <f>SUM(+(H34*0.05)+H34)</f>
        <v>0</v>
      </c>
      <c r="M34" s="297">
        <f>SUM(+(L34*0.05)+L34)</f>
        <v>0</v>
      </c>
      <c r="N34" s="297">
        <f>SUM(H34+L34+M34)</f>
        <v>0</v>
      </c>
      <c r="O34" s="754" t="s">
        <v>506</v>
      </c>
      <c r="P34" s="384" t="s">
        <v>62</v>
      </c>
      <c r="Q34" s="384">
        <v>1</v>
      </c>
      <c r="R34" s="384">
        <v>1</v>
      </c>
      <c r="S34" s="384">
        <v>0</v>
      </c>
      <c r="T34" s="737" t="s">
        <v>138</v>
      </c>
    </row>
    <row r="35" spans="1:20" ht="12.75" x14ac:dyDescent="0.2">
      <c r="A35" s="846"/>
      <c r="B35" s="847"/>
      <c r="C35" s="848"/>
      <c r="D35" s="782"/>
      <c r="E35" s="452"/>
      <c r="F35" s="398"/>
      <c r="G35" s="44" t="s">
        <v>23</v>
      </c>
      <c r="H35" s="298">
        <f>SUM(H34)</f>
        <v>0</v>
      </c>
      <c r="I35" s="298">
        <f t="shared" ref="I35:N35" si="8">SUM(I34)</f>
        <v>100</v>
      </c>
      <c r="J35" s="298">
        <f t="shared" si="8"/>
        <v>0</v>
      </c>
      <c r="K35" s="298">
        <f t="shared" si="8"/>
        <v>30</v>
      </c>
      <c r="L35" s="298">
        <f t="shared" si="8"/>
        <v>0</v>
      </c>
      <c r="M35" s="298">
        <f t="shared" si="8"/>
        <v>0</v>
      </c>
      <c r="N35" s="298">
        <f t="shared" si="8"/>
        <v>0</v>
      </c>
      <c r="O35" s="755"/>
      <c r="P35" s="386"/>
      <c r="Q35" s="386"/>
      <c r="R35" s="386"/>
      <c r="S35" s="386"/>
      <c r="T35" s="753"/>
    </row>
    <row r="36" spans="1:20" ht="14.25" customHeight="1" x14ac:dyDescent="0.2">
      <c r="A36" s="559" t="s">
        <v>236</v>
      </c>
      <c r="B36" s="560"/>
      <c r="C36" s="560"/>
      <c r="D36" s="560"/>
      <c r="E36" s="560"/>
      <c r="F36" s="560"/>
      <c r="G36" s="561"/>
      <c r="H36" s="133">
        <f>+SUM(H37:H45)</f>
        <v>167.4</v>
      </c>
      <c r="I36" s="133" t="e">
        <f t="shared" ref="I36:N36" si="9">+SUM(I37:I45)</f>
        <v>#REF!</v>
      </c>
      <c r="J36" s="133" t="e">
        <f t="shared" si="9"/>
        <v>#REF!</v>
      </c>
      <c r="K36" s="133" t="e">
        <f t="shared" si="9"/>
        <v>#REF!</v>
      </c>
      <c r="L36" s="133">
        <f t="shared" si="9"/>
        <v>22.574999999999999</v>
      </c>
      <c r="M36" s="133">
        <f t="shared" si="9"/>
        <v>23.703749999999999</v>
      </c>
      <c r="N36" s="133">
        <f t="shared" si="9"/>
        <v>208.47874999999999</v>
      </c>
      <c r="O36" s="133"/>
      <c r="P36" s="133"/>
      <c r="Q36" s="133"/>
      <c r="R36" s="133"/>
      <c r="S36" s="133"/>
      <c r="T36" s="134"/>
    </row>
    <row r="37" spans="1:20" ht="14.25" customHeight="1" x14ac:dyDescent="0.2">
      <c r="A37" s="556"/>
      <c r="B37" s="557"/>
      <c r="C37" s="557"/>
      <c r="D37" s="557"/>
      <c r="E37" s="557"/>
      <c r="F37" s="558"/>
      <c r="G37" s="34" t="s">
        <v>40</v>
      </c>
      <c r="H37" s="8">
        <f>H33+H21+H23+H35+H18+H10+H13</f>
        <v>103.3</v>
      </c>
      <c r="I37" s="8" t="e">
        <f>+#REF!+#REF!+#REF!+#REF!+I32+#REF!+#REF!+#REF!+I21+I23+I35+I17</f>
        <v>#REF!</v>
      </c>
      <c r="J37" s="8" t="e">
        <f>+#REF!+#REF!+#REF!+#REF!+J32+#REF!+#REF!+#REF!+J21+J23+J35+J17</f>
        <v>#REF!</v>
      </c>
      <c r="K37" s="8" t="e">
        <f>+#REF!+#REF!+#REF!+#REF!+K32+#REF!+#REF!+#REF!+K21+K23+K35+K17</f>
        <v>#REF!</v>
      </c>
      <c r="L37" s="8">
        <f>L32+L21+L23+L35+L17</f>
        <v>22.574999999999999</v>
      </c>
      <c r="M37" s="8">
        <f>M32+M21+M23+M35+M17</f>
        <v>23.703749999999999</v>
      </c>
      <c r="N37" s="8">
        <f>+N32+N21+N23+N35+N17</f>
        <v>144.37875</v>
      </c>
      <c r="O37" s="8"/>
      <c r="P37" s="8"/>
      <c r="Q37" s="8"/>
      <c r="R37" s="8"/>
      <c r="S37" s="8"/>
      <c r="T37" s="52"/>
    </row>
    <row r="38" spans="1:20" ht="26.25" customHeight="1" x14ac:dyDescent="0.2">
      <c r="A38" s="556"/>
      <c r="B38" s="557"/>
      <c r="C38" s="557"/>
      <c r="D38" s="557"/>
      <c r="E38" s="557"/>
      <c r="F38" s="558"/>
      <c r="G38" s="34" t="s">
        <v>53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/>
      <c r="P38" s="4"/>
      <c r="Q38" s="4"/>
      <c r="R38" s="4"/>
      <c r="S38" s="4"/>
      <c r="T38" s="52"/>
    </row>
    <row r="39" spans="1:20" ht="21" customHeight="1" x14ac:dyDescent="0.2">
      <c r="A39" s="556"/>
      <c r="B39" s="557"/>
      <c r="C39" s="557"/>
      <c r="D39" s="557"/>
      <c r="E39" s="557"/>
      <c r="F39" s="558"/>
      <c r="G39" s="34" t="s">
        <v>178</v>
      </c>
      <c r="H39" s="4">
        <v>0</v>
      </c>
      <c r="I39" s="4" t="e">
        <f>+#REF!</f>
        <v>#REF!</v>
      </c>
      <c r="J39" s="4" t="e">
        <f>+#REF!</f>
        <v>#REF!</v>
      </c>
      <c r="K39" s="4" t="e">
        <f>+#REF!</f>
        <v>#REF!</v>
      </c>
      <c r="L39" s="4">
        <v>0</v>
      </c>
      <c r="M39" s="4">
        <v>0</v>
      </c>
      <c r="N39" s="4">
        <v>0</v>
      </c>
      <c r="O39" s="4"/>
      <c r="P39" s="4"/>
      <c r="Q39" s="4"/>
      <c r="R39" s="4"/>
      <c r="S39" s="4"/>
      <c r="T39" s="52"/>
    </row>
    <row r="40" spans="1:20" ht="14.25" customHeight="1" x14ac:dyDescent="0.2">
      <c r="A40" s="556"/>
      <c r="B40" s="557"/>
      <c r="C40" s="557"/>
      <c r="D40" s="557"/>
      <c r="E40" s="557"/>
      <c r="F40" s="558"/>
      <c r="G40" s="34" t="s">
        <v>95</v>
      </c>
      <c r="H40" s="4">
        <v>0</v>
      </c>
      <c r="I40" s="4" t="e">
        <f>+#REF!</f>
        <v>#REF!</v>
      </c>
      <c r="J40" s="4" t="e">
        <f>+#REF!</f>
        <v>#REF!</v>
      </c>
      <c r="K40" s="4" t="e">
        <f>+#REF!</f>
        <v>#REF!</v>
      </c>
      <c r="L40" s="4">
        <v>0</v>
      </c>
      <c r="M40" s="4">
        <v>0</v>
      </c>
      <c r="N40" s="4">
        <v>0</v>
      </c>
      <c r="O40" s="4"/>
      <c r="P40" s="4"/>
      <c r="Q40" s="4"/>
      <c r="R40" s="4"/>
      <c r="S40" s="4"/>
      <c r="T40" s="202"/>
    </row>
    <row r="41" spans="1:20" ht="14.25" customHeight="1" x14ac:dyDescent="0.2">
      <c r="A41" s="556"/>
      <c r="B41" s="557"/>
      <c r="C41" s="557"/>
      <c r="D41" s="557"/>
      <c r="E41" s="557"/>
      <c r="F41" s="558"/>
      <c r="G41" s="34" t="s">
        <v>149</v>
      </c>
      <c r="H41" s="4">
        <f>H9+H31</f>
        <v>5.2</v>
      </c>
      <c r="I41" s="4" t="e">
        <f>+#REF!+I9+#REF!+I31</f>
        <v>#REF!</v>
      </c>
      <c r="J41" s="4" t="e">
        <f>+#REF!+J9+#REF!+J31</f>
        <v>#REF!</v>
      </c>
      <c r="K41" s="4" t="e">
        <f>+#REF!+K9+#REF!+K31</f>
        <v>#REF!</v>
      </c>
      <c r="L41" s="4">
        <v>0</v>
      </c>
      <c r="M41" s="4">
        <f>M9+M31</f>
        <v>0</v>
      </c>
      <c r="N41" s="4">
        <f>N9+N31</f>
        <v>5.2</v>
      </c>
      <c r="O41" s="4"/>
      <c r="P41" s="4"/>
      <c r="Q41" s="4"/>
      <c r="R41" s="4"/>
      <c r="S41" s="4"/>
      <c r="T41" s="202"/>
    </row>
    <row r="42" spans="1:20" ht="14.25" customHeight="1" x14ac:dyDescent="0.2">
      <c r="A42" s="556"/>
      <c r="B42" s="557"/>
      <c r="C42" s="557"/>
      <c r="D42" s="557"/>
      <c r="E42" s="557"/>
      <c r="F42" s="558"/>
      <c r="G42" s="34" t="s">
        <v>179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/>
      <c r="P42" s="4"/>
      <c r="Q42" s="4"/>
      <c r="R42" s="4"/>
      <c r="S42" s="4"/>
      <c r="T42" s="202"/>
    </row>
    <row r="43" spans="1:20" ht="14.25" customHeight="1" x14ac:dyDescent="0.2">
      <c r="A43" s="556"/>
      <c r="B43" s="557"/>
      <c r="C43" s="557"/>
      <c r="D43" s="557"/>
      <c r="E43" s="557"/>
      <c r="F43" s="558"/>
      <c r="G43" s="34" t="s">
        <v>238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/>
      <c r="P43" s="4"/>
      <c r="Q43" s="4"/>
      <c r="R43" s="4"/>
      <c r="S43" s="4"/>
      <c r="T43" s="202"/>
    </row>
    <row r="44" spans="1:20" ht="14.25" customHeight="1" x14ac:dyDescent="0.2">
      <c r="A44" s="556"/>
      <c r="B44" s="557"/>
      <c r="C44" s="557"/>
      <c r="D44" s="557"/>
      <c r="E44" s="557"/>
      <c r="F44" s="558"/>
      <c r="G44" s="34" t="s">
        <v>141</v>
      </c>
      <c r="H44" s="4">
        <f>+H8+H30</f>
        <v>58.9</v>
      </c>
      <c r="I44" s="4" t="e">
        <f>+#REF!+I8+#REF!+#REF!+I30</f>
        <v>#REF!</v>
      </c>
      <c r="J44" s="4" t="e">
        <f>+#REF!+J8+#REF!+#REF!+J30</f>
        <v>#REF!</v>
      </c>
      <c r="K44" s="4" t="e">
        <f>+#REF!+K8+#REF!+#REF!+K30</f>
        <v>#REF!</v>
      </c>
      <c r="L44" s="4">
        <f>L8+L30</f>
        <v>0</v>
      </c>
      <c r="M44" s="4">
        <f>+M8+M30</f>
        <v>0</v>
      </c>
      <c r="N44" s="4">
        <f>+N8+N30</f>
        <v>58.9</v>
      </c>
      <c r="O44" s="4"/>
      <c r="P44" s="4"/>
      <c r="Q44" s="4"/>
      <c r="R44" s="4"/>
      <c r="S44" s="4"/>
      <c r="T44" s="202"/>
    </row>
    <row r="45" spans="1:20" ht="14.25" customHeight="1" x14ac:dyDescent="0.2">
      <c r="A45" s="556"/>
      <c r="B45" s="557"/>
      <c r="C45" s="557"/>
      <c r="D45" s="557"/>
      <c r="E45" s="557"/>
      <c r="F45" s="558"/>
      <c r="G45" s="53" t="s">
        <v>144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/>
      <c r="P45" s="4"/>
      <c r="Q45" s="4"/>
      <c r="R45" s="4"/>
      <c r="S45" s="4"/>
      <c r="T45" s="202"/>
    </row>
    <row r="46" spans="1:20" ht="14.25" customHeight="1" x14ac:dyDescent="0.2">
      <c r="H46" s="304"/>
    </row>
    <row r="47" spans="1:20" ht="14.25" customHeight="1" x14ac:dyDescent="0.2"/>
    <row r="48" spans="1:20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</sheetData>
  <mergeCells count="117">
    <mergeCell ref="T24:T25"/>
    <mergeCell ref="S24:S25"/>
    <mergeCell ref="R24:R25"/>
    <mergeCell ref="Q24:Q25"/>
    <mergeCell ref="D24:D25"/>
    <mergeCell ref="C24:C25"/>
    <mergeCell ref="B24:B25"/>
    <mergeCell ref="A24:A25"/>
    <mergeCell ref="P24:P25"/>
    <mergeCell ref="O24:O25"/>
    <mergeCell ref="F24:F25"/>
    <mergeCell ref="E24:E25"/>
    <mergeCell ref="A45:F45"/>
    <mergeCell ref="A39:F39"/>
    <mergeCell ref="A40:F40"/>
    <mergeCell ref="A41:F41"/>
    <mergeCell ref="A42:F42"/>
    <mergeCell ref="A43:F43"/>
    <mergeCell ref="A44:F44"/>
    <mergeCell ref="R34:R35"/>
    <mergeCell ref="S34:S35"/>
    <mergeCell ref="T34:T35"/>
    <mergeCell ref="A36:G36"/>
    <mergeCell ref="A37:F37"/>
    <mergeCell ref="A38:F38"/>
    <mergeCell ref="T30:T33"/>
    <mergeCell ref="A34:A35"/>
    <mergeCell ref="B34:B35"/>
    <mergeCell ref="C34:C35"/>
    <mergeCell ref="D34:D35"/>
    <mergeCell ref="E34:E35"/>
    <mergeCell ref="F34:F35"/>
    <mergeCell ref="O34:O35"/>
    <mergeCell ref="P34:P35"/>
    <mergeCell ref="Q34:Q35"/>
    <mergeCell ref="C27:T27"/>
    <mergeCell ref="C28:T28"/>
    <mergeCell ref="C29:T29"/>
    <mergeCell ref="A30:A33"/>
    <mergeCell ref="B30:B33"/>
    <mergeCell ref="C30:C33"/>
    <mergeCell ref="D30:D33"/>
    <mergeCell ref="E30:E33"/>
    <mergeCell ref="F30:F33"/>
    <mergeCell ref="O22:O23"/>
    <mergeCell ref="P22:P23"/>
    <mergeCell ref="Q22:Q23"/>
    <mergeCell ref="R22:R23"/>
    <mergeCell ref="S22:S23"/>
    <mergeCell ref="T22:T23"/>
    <mergeCell ref="A22:A23"/>
    <mergeCell ref="B22:B23"/>
    <mergeCell ref="C22:C23"/>
    <mergeCell ref="D22:D23"/>
    <mergeCell ref="E22:E23"/>
    <mergeCell ref="F22:F23"/>
    <mergeCell ref="C19:T19"/>
    <mergeCell ref="A20:A21"/>
    <mergeCell ref="B20:B21"/>
    <mergeCell ref="C20:C21"/>
    <mergeCell ref="D20:D21"/>
    <mergeCell ref="E20:E21"/>
    <mergeCell ref="F20:F21"/>
    <mergeCell ref="O20:O21"/>
    <mergeCell ref="T20:T21"/>
    <mergeCell ref="A17:A18"/>
    <mergeCell ref="B17:B18"/>
    <mergeCell ref="C17:C18"/>
    <mergeCell ref="D17:D18"/>
    <mergeCell ref="E17:E18"/>
    <mergeCell ref="F17:F18"/>
    <mergeCell ref="T17:T18"/>
    <mergeCell ref="O12:O14"/>
    <mergeCell ref="P12:P14"/>
    <mergeCell ref="Q12:Q14"/>
    <mergeCell ref="R12:R14"/>
    <mergeCell ref="S12:S14"/>
    <mergeCell ref="T12:T14"/>
    <mergeCell ref="A12:A14"/>
    <mergeCell ref="B12:B14"/>
    <mergeCell ref="C12:C14"/>
    <mergeCell ref="D12:D14"/>
    <mergeCell ref="E12:E14"/>
    <mergeCell ref="F12:F14"/>
    <mergeCell ref="A8:A11"/>
    <mergeCell ref="B8:B11"/>
    <mergeCell ref="C8:C11"/>
    <mergeCell ref="D8:D11"/>
    <mergeCell ref="E8:E11"/>
    <mergeCell ref="F8:F11"/>
    <mergeCell ref="U12:U14"/>
    <mergeCell ref="C15:T15"/>
    <mergeCell ref="C16:T16"/>
    <mergeCell ref="B6:T6"/>
    <mergeCell ref="C7:T7"/>
    <mergeCell ref="G2:G4"/>
    <mergeCell ref="H2:K2"/>
    <mergeCell ref="L2:L4"/>
    <mergeCell ref="M2:M4"/>
    <mergeCell ref="N2:N4"/>
    <mergeCell ref="O2:S2"/>
    <mergeCell ref="O8:O11"/>
    <mergeCell ref="P8:P11"/>
    <mergeCell ref="Q8:Q11"/>
    <mergeCell ref="R8:R11"/>
    <mergeCell ref="S8:S11"/>
    <mergeCell ref="T8:T11"/>
    <mergeCell ref="A2:A4"/>
    <mergeCell ref="B2:B4"/>
    <mergeCell ref="C2:C4"/>
    <mergeCell ref="D2:D4"/>
    <mergeCell ref="E2:E4"/>
    <mergeCell ref="F2:F4"/>
    <mergeCell ref="T2:T4"/>
    <mergeCell ref="H3:H4"/>
    <mergeCell ref="I3:K3"/>
    <mergeCell ref="Q3:S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1981A-EE95-483A-8486-035310357B7C}">
  <dimension ref="A2:V331"/>
  <sheetViews>
    <sheetView workbookViewId="0">
      <selection activeCell="D8" sqref="D8:D10"/>
    </sheetView>
  </sheetViews>
  <sheetFormatPr defaultColWidth="9.140625" defaultRowHeight="15" outlineLevelCol="1" x14ac:dyDescent="0.2"/>
  <cols>
    <col min="1" max="1" width="3.5703125" style="299" customWidth="1"/>
    <col min="2" max="2" width="4.42578125" style="299" customWidth="1"/>
    <col min="3" max="3" width="4.42578125" style="300" customWidth="1"/>
    <col min="4" max="4" width="45.28515625" style="301" customWidth="1"/>
    <col min="5" max="5" width="4.42578125" style="302" customWidth="1"/>
    <col min="6" max="6" width="26.5703125" style="301" customWidth="1"/>
    <col min="7" max="7" width="7" style="303" customWidth="1" outlineLevel="1"/>
    <col min="8" max="8" width="9.85546875" style="303" customWidth="1" outlineLevel="1"/>
    <col min="9" max="9" width="10.42578125" style="303" hidden="1" customWidth="1" outlineLevel="1"/>
    <col min="10" max="10" width="7" style="303" hidden="1" customWidth="1" outlineLevel="1"/>
    <col min="11" max="11" width="8.5703125" style="303" hidden="1" customWidth="1" outlineLevel="1"/>
    <col min="12" max="12" width="9.85546875" style="303" customWidth="1" outlineLevel="1"/>
    <col min="13" max="13" width="8.85546875" style="303" customWidth="1" outlineLevel="1"/>
    <col min="14" max="14" width="12.42578125" style="334" customWidth="1" outlineLevel="1"/>
    <col min="15" max="15" width="29.42578125" style="20" customWidth="1"/>
    <col min="16" max="16" width="8.42578125" style="20" customWidth="1"/>
    <col min="17" max="17" width="7.7109375" style="20" customWidth="1"/>
    <col min="18" max="18" width="8.5703125" style="20" customWidth="1"/>
    <col min="19" max="19" width="8" style="20" customWidth="1"/>
    <col min="20" max="20" width="21.42578125" style="305" customWidth="1"/>
    <col min="21" max="21" width="35.85546875" style="308" customWidth="1"/>
    <col min="22" max="22" width="35.42578125" style="308" customWidth="1"/>
    <col min="23" max="16384" width="9.140625" style="43"/>
  </cols>
  <sheetData>
    <row r="2" spans="1:22" ht="12.75" customHeight="1" x14ac:dyDescent="0.25">
      <c r="A2" s="756" t="s">
        <v>13</v>
      </c>
      <c r="B2" s="756" t="s">
        <v>14</v>
      </c>
      <c r="C2" s="757" t="s">
        <v>15</v>
      </c>
      <c r="D2" s="742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852" t="s">
        <v>23</v>
      </c>
      <c r="O2" s="475" t="s">
        <v>24</v>
      </c>
      <c r="P2" s="475"/>
      <c r="Q2" s="475"/>
      <c r="R2" s="475"/>
      <c r="S2" s="475"/>
      <c r="T2" s="747" t="s">
        <v>25</v>
      </c>
    </row>
    <row r="3" spans="1:22" ht="15" customHeight="1" x14ac:dyDescent="0.2">
      <c r="A3" s="756"/>
      <c r="B3" s="756"/>
      <c r="C3" s="757"/>
      <c r="D3" s="758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853"/>
      <c r="O3" s="71"/>
      <c r="P3" s="67"/>
      <c r="Q3" s="475" t="s">
        <v>27</v>
      </c>
      <c r="R3" s="475"/>
      <c r="S3" s="475"/>
      <c r="T3" s="748"/>
    </row>
    <row r="4" spans="1:22" ht="71.099999999999994" customHeight="1" x14ac:dyDescent="0.2">
      <c r="A4" s="756"/>
      <c r="B4" s="756"/>
      <c r="C4" s="757"/>
      <c r="D4" s="743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854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749"/>
      <c r="U4" s="185"/>
      <c r="V4" s="185"/>
    </row>
    <row r="5" spans="1:22" ht="14.25" x14ac:dyDescent="0.2">
      <c r="A5" s="288" t="s">
        <v>522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91"/>
    </row>
    <row r="6" spans="1:22" ht="14.1" customHeight="1" x14ac:dyDescent="0.2">
      <c r="A6" s="309" t="s">
        <v>36</v>
      </c>
      <c r="B6" s="28" t="s">
        <v>523</v>
      </c>
      <c r="C6" s="29"/>
      <c r="D6" s="29"/>
      <c r="E6" s="29"/>
      <c r="F6" s="29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</row>
    <row r="7" spans="1:22" x14ac:dyDescent="0.2">
      <c r="A7" s="109" t="s">
        <v>36</v>
      </c>
      <c r="B7" s="110" t="s">
        <v>36</v>
      </c>
      <c r="C7" s="724" t="s">
        <v>524</v>
      </c>
      <c r="D7" s="725"/>
      <c r="E7" s="725"/>
      <c r="F7" s="725"/>
      <c r="G7" s="725"/>
      <c r="H7" s="725"/>
      <c r="I7" s="725"/>
      <c r="J7" s="725"/>
      <c r="K7" s="725"/>
      <c r="L7" s="725"/>
      <c r="M7" s="725"/>
      <c r="N7" s="725"/>
      <c r="O7" s="725"/>
      <c r="P7" s="725"/>
      <c r="Q7" s="725"/>
      <c r="R7" s="725"/>
      <c r="S7" s="725"/>
      <c r="T7" s="726"/>
    </row>
    <row r="8" spans="1:22" ht="25.5" x14ac:dyDescent="0.2">
      <c r="A8" s="727" t="s">
        <v>36</v>
      </c>
      <c r="B8" s="729" t="s">
        <v>36</v>
      </c>
      <c r="C8" s="787" t="s">
        <v>36</v>
      </c>
      <c r="D8" s="742" t="s">
        <v>525</v>
      </c>
      <c r="E8" s="849" t="s">
        <v>169</v>
      </c>
      <c r="F8" s="397">
        <v>188718713</v>
      </c>
      <c r="G8" s="310" t="s">
        <v>40</v>
      </c>
      <c r="H8" s="284">
        <v>97</v>
      </c>
      <c r="I8" s="284"/>
      <c r="J8" s="284"/>
      <c r="K8" s="284"/>
      <c r="L8" s="226">
        <f>H8*1.05</f>
        <v>101.85000000000001</v>
      </c>
      <c r="M8" s="226">
        <f>L8*1.05</f>
        <v>106.94250000000001</v>
      </c>
      <c r="N8" s="220">
        <f>H8+L8+M8</f>
        <v>305.79250000000002</v>
      </c>
      <c r="O8" s="186" t="s">
        <v>526</v>
      </c>
      <c r="P8" s="128" t="s">
        <v>62</v>
      </c>
      <c r="Q8" s="128">
        <v>4</v>
      </c>
      <c r="R8" s="128">
        <v>4</v>
      </c>
      <c r="S8" s="128">
        <v>5</v>
      </c>
      <c r="T8" s="737" t="s">
        <v>378</v>
      </c>
      <c r="U8" s="855"/>
      <c r="V8" s="823"/>
    </row>
    <row r="9" spans="1:22" ht="12.75" x14ac:dyDescent="0.2">
      <c r="A9" s="728"/>
      <c r="B9" s="730"/>
      <c r="C9" s="788"/>
      <c r="D9" s="758"/>
      <c r="E9" s="850"/>
      <c r="F9" s="457"/>
      <c r="G9" s="310"/>
      <c r="H9" s="284"/>
      <c r="I9" s="284"/>
      <c r="J9" s="284"/>
      <c r="K9" s="284"/>
      <c r="L9" s="226"/>
      <c r="M9" s="226"/>
      <c r="N9" s="220"/>
      <c r="O9" s="462" t="s">
        <v>527</v>
      </c>
      <c r="P9" s="536" t="s">
        <v>62</v>
      </c>
      <c r="Q9" s="536">
        <v>1</v>
      </c>
      <c r="R9" s="536">
        <v>1</v>
      </c>
      <c r="S9" s="536">
        <v>2</v>
      </c>
      <c r="T9" s="738"/>
      <c r="U9" s="855"/>
      <c r="V9" s="823"/>
    </row>
    <row r="10" spans="1:22" ht="34.5" customHeight="1" x14ac:dyDescent="0.2">
      <c r="A10" s="739"/>
      <c r="B10" s="740"/>
      <c r="C10" s="826"/>
      <c r="D10" s="743"/>
      <c r="E10" s="851"/>
      <c r="F10" s="398"/>
      <c r="G10" s="44" t="s">
        <v>23</v>
      </c>
      <c r="H10" s="45">
        <f t="shared" ref="H10:M10" si="0">+SUM(H8:H8)</f>
        <v>97</v>
      </c>
      <c r="I10" s="45">
        <f t="shared" si="0"/>
        <v>0</v>
      </c>
      <c r="J10" s="45">
        <f t="shared" si="0"/>
        <v>0</v>
      </c>
      <c r="K10" s="45">
        <f t="shared" si="0"/>
        <v>0</v>
      </c>
      <c r="L10" s="45">
        <f t="shared" si="0"/>
        <v>101.85000000000001</v>
      </c>
      <c r="M10" s="45">
        <f t="shared" si="0"/>
        <v>106.94250000000001</v>
      </c>
      <c r="N10" s="311">
        <f>H10+L10+M10</f>
        <v>305.79250000000002</v>
      </c>
      <c r="O10" s="463"/>
      <c r="P10" s="537"/>
      <c r="Q10" s="537"/>
      <c r="R10" s="537"/>
      <c r="S10" s="537"/>
      <c r="T10" s="753"/>
      <c r="U10" s="855"/>
      <c r="V10" s="823"/>
    </row>
    <row r="11" spans="1:22" s="54" customFormat="1" ht="28.5" customHeight="1" x14ac:dyDescent="0.25">
      <c r="A11" s="727" t="s">
        <v>36</v>
      </c>
      <c r="B11" s="729" t="s">
        <v>36</v>
      </c>
      <c r="C11" s="769" t="s">
        <v>46</v>
      </c>
      <c r="D11" s="742" t="s">
        <v>528</v>
      </c>
      <c r="E11" s="735" t="s">
        <v>107</v>
      </c>
      <c r="F11" s="397">
        <v>188718713</v>
      </c>
      <c r="G11" s="247" t="s">
        <v>40</v>
      </c>
      <c r="H11" s="248"/>
      <c r="I11" s="248"/>
      <c r="J11" s="248"/>
      <c r="K11" s="248"/>
      <c r="L11" s="7">
        <f>+(H11*0.05)+H11</f>
        <v>0</v>
      </c>
      <c r="M11" s="7">
        <f>+H11*0.1+H11</f>
        <v>0</v>
      </c>
      <c r="N11" s="249">
        <f>+H11+L11+M11</f>
        <v>0</v>
      </c>
      <c r="O11" s="273" t="s">
        <v>529</v>
      </c>
      <c r="P11" s="269" t="s">
        <v>65</v>
      </c>
      <c r="Q11" s="269">
        <v>400</v>
      </c>
      <c r="R11" s="269">
        <v>400</v>
      </c>
      <c r="S11" s="269">
        <v>500</v>
      </c>
      <c r="T11" s="401" t="s">
        <v>378</v>
      </c>
      <c r="U11" s="856"/>
      <c r="V11" s="627"/>
    </row>
    <row r="12" spans="1:22" s="54" customFormat="1" ht="58.5" customHeight="1" x14ac:dyDescent="0.25">
      <c r="A12" s="739"/>
      <c r="B12" s="740"/>
      <c r="C12" s="771"/>
      <c r="D12" s="743"/>
      <c r="E12" s="744"/>
      <c r="F12" s="398"/>
      <c r="G12" s="250" t="s">
        <v>23</v>
      </c>
      <c r="H12" s="251">
        <f>+H11</f>
        <v>0</v>
      </c>
      <c r="I12" s="251">
        <f t="shared" ref="I12:M12" si="1">+I11</f>
        <v>0</v>
      </c>
      <c r="J12" s="251">
        <f t="shared" si="1"/>
        <v>0</v>
      </c>
      <c r="K12" s="251">
        <f t="shared" si="1"/>
        <v>0</v>
      </c>
      <c r="L12" s="251">
        <f t="shared" si="1"/>
        <v>0</v>
      </c>
      <c r="M12" s="251">
        <f t="shared" si="1"/>
        <v>0</v>
      </c>
      <c r="N12" s="252">
        <f>SUM(H12,L12,M12)</f>
        <v>0</v>
      </c>
      <c r="O12" s="273" t="s">
        <v>530</v>
      </c>
      <c r="P12" s="253" t="s">
        <v>62</v>
      </c>
      <c r="Q12" s="253">
        <v>50</v>
      </c>
      <c r="R12" s="253">
        <v>50</v>
      </c>
      <c r="S12" s="253">
        <v>50</v>
      </c>
      <c r="T12" s="402"/>
      <c r="U12" s="857"/>
      <c r="V12" s="627"/>
    </row>
    <row r="13" spans="1:22" ht="14.25" customHeight="1" x14ac:dyDescent="0.2">
      <c r="A13" s="109" t="s">
        <v>36</v>
      </c>
      <c r="B13" s="110" t="s">
        <v>46</v>
      </c>
      <c r="C13" s="818" t="s">
        <v>531</v>
      </c>
      <c r="D13" s="819"/>
      <c r="E13" s="819"/>
      <c r="F13" s="819"/>
      <c r="G13" s="819"/>
      <c r="H13" s="819"/>
      <c r="I13" s="819"/>
      <c r="J13" s="819"/>
      <c r="K13" s="819"/>
      <c r="L13" s="819"/>
      <c r="M13" s="819"/>
      <c r="N13" s="819"/>
      <c r="O13" s="858"/>
      <c r="P13" s="858"/>
      <c r="Q13" s="858"/>
      <c r="R13" s="858"/>
      <c r="S13" s="858"/>
      <c r="T13" s="820"/>
    </row>
    <row r="14" spans="1:22" ht="14.25" customHeight="1" x14ac:dyDescent="0.2">
      <c r="A14" s="832" t="s">
        <v>36</v>
      </c>
      <c r="B14" s="859" t="s">
        <v>46</v>
      </c>
      <c r="C14" s="860" t="s">
        <v>46</v>
      </c>
      <c r="D14" s="810" t="s">
        <v>532</v>
      </c>
      <c r="E14" s="860" t="s">
        <v>533</v>
      </c>
      <c r="F14" s="812">
        <v>188718713</v>
      </c>
      <c r="G14" s="312" t="s">
        <v>144</v>
      </c>
      <c r="H14" s="313"/>
      <c r="I14" s="313"/>
      <c r="J14" s="313"/>
      <c r="K14" s="313"/>
      <c r="L14" s="314">
        <f>+(H14*0.05)+H14</f>
        <v>0</v>
      </c>
      <c r="M14" s="314">
        <f>+H14*0.1+H14</f>
        <v>0</v>
      </c>
      <c r="N14" s="315">
        <f>H14+L14+M14</f>
        <v>0</v>
      </c>
      <c r="O14" s="861" t="s">
        <v>534</v>
      </c>
      <c r="P14" s="863" t="s">
        <v>471</v>
      </c>
      <c r="Q14" s="863">
        <v>330</v>
      </c>
      <c r="R14" s="863">
        <v>0</v>
      </c>
      <c r="S14" s="863">
        <v>0</v>
      </c>
      <c r="T14" s="864" t="s">
        <v>378</v>
      </c>
      <c r="U14" s="855"/>
      <c r="V14" s="823"/>
    </row>
    <row r="15" spans="1:22" ht="14.25" customHeight="1" x14ac:dyDescent="0.2">
      <c r="A15" s="832"/>
      <c r="B15" s="859"/>
      <c r="C15" s="860"/>
      <c r="D15" s="810"/>
      <c r="E15" s="860"/>
      <c r="F15" s="812"/>
      <c r="G15" s="312" t="s">
        <v>141</v>
      </c>
      <c r="H15" s="316"/>
      <c r="I15" s="316"/>
      <c r="J15" s="316"/>
      <c r="K15" s="316"/>
      <c r="L15" s="165">
        <f>+(H15*0.05)+H15</f>
        <v>0</v>
      </c>
      <c r="M15" s="165">
        <f>+H15*0.1+H15</f>
        <v>0</v>
      </c>
      <c r="N15" s="315">
        <f>H15+L15+M15</f>
        <v>0</v>
      </c>
      <c r="O15" s="861"/>
      <c r="P15" s="863"/>
      <c r="Q15" s="863"/>
      <c r="R15" s="863"/>
      <c r="S15" s="863"/>
      <c r="T15" s="866"/>
      <c r="U15" s="855"/>
      <c r="V15" s="823"/>
    </row>
    <row r="16" spans="1:22" ht="14.25" customHeight="1" x14ac:dyDescent="0.2">
      <c r="A16" s="832"/>
      <c r="B16" s="859"/>
      <c r="C16" s="860"/>
      <c r="D16" s="810"/>
      <c r="E16" s="860"/>
      <c r="F16" s="812"/>
      <c r="G16" s="312" t="s">
        <v>40</v>
      </c>
      <c r="H16" s="316">
        <v>11.1</v>
      </c>
      <c r="I16" s="316"/>
      <c r="J16" s="316"/>
      <c r="K16" s="316"/>
      <c r="L16" s="226">
        <f>H16*1.05</f>
        <v>11.654999999999999</v>
      </c>
      <c r="M16" s="226">
        <f>L16*1.05</f>
        <v>12.23775</v>
      </c>
      <c r="N16" s="315">
        <f>H16+L16+M16</f>
        <v>34.992750000000001</v>
      </c>
      <c r="O16" s="861" t="s">
        <v>535</v>
      </c>
      <c r="P16" s="863" t="s">
        <v>471</v>
      </c>
      <c r="Q16" s="863">
        <v>50</v>
      </c>
      <c r="R16" s="863">
        <v>0</v>
      </c>
      <c r="S16" s="863">
        <v>0</v>
      </c>
      <c r="T16" s="864" t="s">
        <v>378</v>
      </c>
      <c r="U16" s="855"/>
      <c r="V16" s="823"/>
    </row>
    <row r="17" spans="1:22" ht="14.25" customHeight="1" x14ac:dyDescent="0.2">
      <c r="A17" s="832"/>
      <c r="B17" s="859"/>
      <c r="C17" s="860"/>
      <c r="D17" s="810"/>
      <c r="E17" s="860"/>
      <c r="F17" s="812"/>
      <c r="G17" s="355" t="s">
        <v>23</v>
      </c>
      <c r="H17" s="356">
        <f t="shared" ref="H17:N17" si="2">+H14+H15+H16</f>
        <v>11.1</v>
      </c>
      <c r="I17" s="356">
        <f t="shared" si="2"/>
        <v>0</v>
      </c>
      <c r="J17" s="356">
        <f t="shared" si="2"/>
        <v>0</v>
      </c>
      <c r="K17" s="356">
        <f t="shared" si="2"/>
        <v>0</v>
      </c>
      <c r="L17" s="356">
        <f t="shared" si="2"/>
        <v>11.654999999999999</v>
      </c>
      <c r="M17" s="356">
        <f t="shared" si="2"/>
        <v>12.23775</v>
      </c>
      <c r="N17" s="357">
        <f t="shared" si="2"/>
        <v>34.992750000000001</v>
      </c>
      <c r="O17" s="862"/>
      <c r="P17" s="536"/>
      <c r="Q17" s="536"/>
      <c r="R17" s="536"/>
      <c r="S17" s="536"/>
      <c r="T17" s="865"/>
      <c r="U17" s="855"/>
      <c r="V17" s="823"/>
    </row>
    <row r="18" spans="1:22" s="366" customFormat="1" ht="14.25" customHeight="1" x14ac:dyDescent="0.2">
      <c r="A18" s="867" t="s">
        <v>36</v>
      </c>
      <c r="B18" s="833" t="s">
        <v>46</v>
      </c>
      <c r="C18" s="869" t="s">
        <v>50</v>
      </c>
      <c r="D18" s="839" t="s">
        <v>536</v>
      </c>
      <c r="E18" s="869" t="s">
        <v>66</v>
      </c>
      <c r="F18" s="607">
        <v>188718713</v>
      </c>
      <c r="G18" s="360" t="s">
        <v>40</v>
      </c>
      <c r="H18" s="361">
        <v>7</v>
      </c>
      <c r="I18" s="361"/>
      <c r="J18" s="361"/>
      <c r="K18" s="361"/>
      <c r="L18" s="362"/>
      <c r="M18" s="362"/>
      <c r="N18" s="363"/>
      <c r="O18" s="390"/>
      <c r="P18" s="679"/>
      <c r="Q18" s="679"/>
      <c r="R18" s="679"/>
      <c r="S18" s="679"/>
      <c r="T18" s="864" t="s">
        <v>378</v>
      </c>
      <c r="U18" s="364"/>
      <c r="V18" s="365"/>
    </row>
    <row r="19" spans="1:22" s="366" customFormat="1" ht="14.25" customHeight="1" x14ac:dyDescent="0.2">
      <c r="A19" s="868"/>
      <c r="B19" s="835"/>
      <c r="C19" s="870"/>
      <c r="D19" s="841"/>
      <c r="E19" s="870"/>
      <c r="F19" s="608"/>
      <c r="G19" s="367" t="s">
        <v>23</v>
      </c>
      <c r="H19" s="282">
        <f>+H18</f>
        <v>7</v>
      </c>
      <c r="I19" s="282"/>
      <c r="J19" s="282"/>
      <c r="K19" s="282"/>
      <c r="L19" s="282"/>
      <c r="M19" s="282"/>
      <c r="N19" s="282"/>
      <c r="O19" s="391"/>
      <c r="P19" s="681"/>
      <c r="Q19" s="681"/>
      <c r="R19" s="681"/>
      <c r="S19" s="681"/>
      <c r="T19" s="865"/>
      <c r="U19" s="368"/>
      <c r="V19" s="365"/>
    </row>
    <row r="20" spans="1:22" x14ac:dyDescent="0.2">
      <c r="A20" s="109" t="s">
        <v>36</v>
      </c>
      <c r="B20" s="110" t="s">
        <v>50</v>
      </c>
      <c r="C20" s="818" t="s">
        <v>537</v>
      </c>
      <c r="D20" s="871"/>
      <c r="E20" s="871"/>
      <c r="F20" s="871"/>
      <c r="G20" s="871"/>
      <c r="H20" s="871"/>
      <c r="I20" s="871"/>
      <c r="J20" s="871"/>
      <c r="K20" s="871"/>
      <c r="L20" s="871"/>
      <c r="M20" s="871"/>
      <c r="N20" s="871"/>
      <c r="O20" s="872"/>
      <c r="P20" s="872"/>
      <c r="Q20" s="872"/>
      <c r="R20" s="872"/>
      <c r="S20" s="872"/>
      <c r="T20" s="873"/>
      <c r="U20" s="319"/>
      <c r="V20" s="320"/>
    </row>
    <row r="21" spans="1:22" ht="12.75" customHeight="1" x14ac:dyDescent="0.2">
      <c r="A21" s="728" t="s">
        <v>36</v>
      </c>
      <c r="B21" s="730" t="s">
        <v>50</v>
      </c>
      <c r="C21" s="788" t="s">
        <v>36</v>
      </c>
      <c r="D21" s="840" t="s">
        <v>538</v>
      </c>
      <c r="E21" s="849" t="s">
        <v>169</v>
      </c>
      <c r="F21" s="457">
        <v>188718713</v>
      </c>
      <c r="G21" s="312" t="s">
        <v>144</v>
      </c>
      <c r="H21" s="313"/>
      <c r="I21" s="313"/>
      <c r="J21" s="313"/>
      <c r="K21" s="313"/>
      <c r="L21" s="314"/>
      <c r="M21" s="314"/>
      <c r="N21" s="321">
        <f>H21+L21+M21</f>
        <v>0</v>
      </c>
      <c r="O21" s="378" t="s">
        <v>539</v>
      </c>
      <c r="P21" s="536" t="s">
        <v>62</v>
      </c>
      <c r="Q21" s="536">
        <v>1</v>
      </c>
      <c r="R21" s="536">
        <v>0</v>
      </c>
      <c r="S21" s="536">
        <v>0</v>
      </c>
      <c r="T21" s="879" t="s">
        <v>138</v>
      </c>
      <c r="U21" s="855"/>
      <c r="V21" s="823"/>
    </row>
    <row r="22" spans="1:22" ht="14.25" customHeight="1" x14ac:dyDescent="0.2">
      <c r="A22" s="728"/>
      <c r="B22" s="730"/>
      <c r="C22" s="788"/>
      <c r="D22" s="840"/>
      <c r="E22" s="850"/>
      <c r="F22" s="457"/>
      <c r="G22" s="312" t="s">
        <v>141</v>
      </c>
      <c r="H22" s="316"/>
      <c r="I22" s="316"/>
      <c r="J22" s="316"/>
      <c r="K22" s="316"/>
      <c r="L22" s="165"/>
      <c r="M22" s="165"/>
      <c r="N22" s="321">
        <f>H22+L22+M22</f>
        <v>0</v>
      </c>
      <c r="O22" s="379"/>
      <c r="P22" s="537"/>
      <c r="Q22" s="537"/>
      <c r="R22" s="537"/>
      <c r="S22" s="537"/>
      <c r="T22" s="879"/>
      <c r="U22" s="855"/>
      <c r="V22" s="823"/>
    </row>
    <row r="23" spans="1:22" ht="14.25" customHeight="1" x14ac:dyDescent="0.2">
      <c r="A23" s="728"/>
      <c r="B23" s="730"/>
      <c r="C23" s="788"/>
      <c r="D23" s="840"/>
      <c r="E23" s="850"/>
      <c r="F23" s="457"/>
      <c r="G23" s="312" t="s">
        <v>40</v>
      </c>
      <c r="H23" s="316"/>
      <c r="I23" s="316"/>
      <c r="J23" s="316"/>
      <c r="K23" s="316"/>
      <c r="L23" s="165"/>
      <c r="M23" s="165"/>
      <c r="N23" s="321">
        <f>H23+L23+M23</f>
        <v>0</v>
      </c>
      <c r="O23" s="378" t="s">
        <v>540</v>
      </c>
      <c r="P23" s="536" t="s">
        <v>62</v>
      </c>
      <c r="Q23" s="536">
        <v>5</v>
      </c>
      <c r="R23" s="536">
        <v>1</v>
      </c>
      <c r="S23" s="536">
        <v>1</v>
      </c>
      <c r="T23" s="879"/>
      <c r="U23" s="855"/>
      <c r="V23" s="823"/>
    </row>
    <row r="24" spans="1:22" ht="14.25" customHeight="1" x14ac:dyDescent="0.2">
      <c r="A24" s="739"/>
      <c r="B24" s="740"/>
      <c r="C24" s="826"/>
      <c r="D24" s="841"/>
      <c r="E24" s="851"/>
      <c r="F24" s="398"/>
      <c r="G24" s="317" t="s">
        <v>23</v>
      </c>
      <c r="H24" s="318">
        <f t="shared" ref="H24:N24" si="3">+H21+H22+H23</f>
        <v>0</v>
      </c>
      <c r="I24" s="318">
        <f t="shared" si="3"/>
        <v>0</v>
      </c>
      <c r="J24" s="318">
        <f t="shared" si="3"/>
        <v>0</v>
      </c>
      <c r="K24" s="318">
        <f t="shared" si="3"/>
        <v>0</v>
      </c>
      <c r="L24" s="318">
        <f t="shared" si="3"/>
        <v>0</v>
      </c>
      <c r="M24" s="318">
        <f t="shared" si="3"/>
        <v>0</v>
      </c>
      <c r="N24" s="318">
        <f t="shared" si="3"/>
        <v>0</v>
      </c>
      <c r="O24" s="379"/>
      <c r="P24" s="537"/>
      <c r="Q24" s="537"/>
      <c r="R24" s="537"/>
      <c r="S24" s="537"/>
      <c r="T24" s="498"/>
      <c r="U24" s="855"/>
      <c r="V24" s="823"/>
    </row>
    <row r="25" spans="1:22" ht="25.5" x14ac:dyDescent="0.2">
      <c r="A25" s="727" t="s">
        <v>36</v>
      </c>
      <c r="B25" s="729" t="s">
        <v>50</v>
      </c>
      <c r="C25" s="787" t="s">
        <v>46</v>
      </c>
      <c r="D25" s="874" t="s">
        <v>541</v>
      </c>
      <c r="E25" s="849" t="s">
        <v>169</v>
      </c>
      <c r="F25" s="607">
        <v>188718713</v>
      </c>
      <c r="G25" s="322" t="s">
        <v>40</v>
      </c>
      <c r="H25" s="323"/>
      <c r="I25" s="323"/>
      <c r="J25" s="323"/>
      <c r="K25" s="323"/>
      <c r="L25" s="323"/>
      <c r="M25" s="323"/>
      <c r="N25" s="323">
        <f>SUM(H25+L25+M25)</f>
        <v>0</v>
      </c>
      <c r="O25" s="86" t="s">
        <v>542</v>
      </c>
      <c r="P25" s="128" t="s">
        <v>62</v>
      </c>
      <c r="Q25" s="128">
        <v>1</v>
      </c>
      <c r="R25" s="128">
        <v>3</v>
      </c>
      <c r="S25" s="128">
        <v>5</v>
      </c>
      <c r="T25" s="497" t="s">
        <v>138</v>
      </c>
      <c r="U25" s="855"/>
      <c r="V25" s="823"/>
    </row>
    <row r="26" spans="1:22" ht="14.1" customHeight="1" x14ac:dyDescent="0.2">
      <c r="A26" s="739"/>
      <c r="B26" s="740"/>
      <c r="C26" s="826"/>
      <c r="D26" s="875"/>
      <c r="E26" s="851"/>
      <c r="F26" s="608"/>
      <c r="G26" s="324" t="s">
        <v>23</v>
      </c>
      <c r="H26" s="325">
        <f t="shared" ref="H26:N26" si="4">SUM(H25)</f>
        <v>0</v>
      </c>
      <c r="I26" s="325">
        <f t="shared" si="4"/>
        <v>0</v>
      </c>
      <c r="J26" s="325">
        <f t="shared" si="4"/>
        <v>0</v>
      </c>
      <c r="K26" s="325">
        <f t="shared" si="4"/>
        <v>0</v>
      </c>
      <c r="L26" s="325">
        <f t="shared" si="4"/>
        <v>0</v>
      </c>
      <c r="M26" s="325">
        <f t="shared" si="4"/>
        <v>0</v>
      </c>
      <c r="N26" s="325">
        <f t="shared" si="4"/>
        <v>0</v>
      </c>
      <c r="O26" s="86" t="s">
        <v>543</v>
      </c>
      <c r="P26" s="128" t="s">
        <v>62</v>
      </c>
      <c r="Q26" s="128">
        <v>1</v>
      </c>
      <c r="R26" s="128">
        <v>2</v>
      </c>
      <c r="S26" s="128">
        <v>5</v>
      </c>
      <c r="T26" s="498"/>
      <c r="U26" s="855"/>
      <c r="V26" s="823"/>
    </row>
    <row r="27" spans="1:22" ht="18" customHeight="1" x14ac:dyDescent="0.2">
      <c r="A27" s="800" t="s">
        <v>36</v>
      </c>
      <c r="B27" s="802" t="s">
        <v>50</v>
      </c>
      <c r="C27" s="808" t="s">
        <v>50</v>
      </c>
      <c r="D27" s="839" t="s">
        <v>544</v>
      </c>
      <c r="E27" s="849" t="s">
        <v>114</v>
      </c>
      <c r="F27" s="842">
        <v>291408750</v>
      </c>
      <c r="G27" s="312" t="s">
        <v>141</v>
      </c>
      <c r="H27" s="297">
        <v>27</v>
      </c>
      <c r="I27" s="323"/>
      <c r="J27" s="323"/>
      <c r="K27" s="323"/>
      <c r="L27" s="323"/>
      <c r="M27" s="323"/>
      <c r="N27" s="315">
        <f>H27+L27+M27</f>
        <v>27</v>
      </c>
      <c r="O27" s="462" t="s">
        <v>545</v>
      </c>
      <c r="P27" s="536" t="s">
        <v>62</v>
      </c>
      <c r="Q27" s="536">
        <v>1</v>
      </c>
      <c r="R27" s="536">
        <v>0</v>
      </c>
      <c r="S27" s="536">
        <v>0</v>
      </c>
      <c r="T27" s="497" t="s">
        <v>138</v>
      </c>
      <c r="U27" s="855"/>
      <c r="V27" s="823"/>
    </row>
    <row r="28" spans="1:22" ht="18" customHeight="1" x14ac:dyDescent="0.2">
      <c r="A28" s="832"/>
      <c r="B28" s="859"/>
      <c r="C28" s="811"/>
      <c r="D28" s="840"/>
      <c r="E28" s="850"/>
      <c r="F28" s="843"/>
      <c r="G28" s="312" t="s">
        <v>40</v>
      </c>
      <c r="H28" s="297">
        <v>13</v>
      </c>
      <c r="I28" s="323"/>
      <c r="J28" s="323"/>
      <c r="K28" s="323"/>
      <c r="L28" s="323"/>
      <c r="M28" s="323"/>
      <c r="N28" s="315">
        <f>H28+L28+M28</f>
        <v>13</v>
      </c>
      <c r="O28" s="631"/>
      <c r="P28" s="547"/>
      <c r="Q28" s="547"/>
      <c r="R28" s="547"/>
      <c r="S28" s="547"/>
      <c r="T28" s="879"/>
      <c r="U28" s="855"/>
      <c r="V28" s="823"/>
    </row>
    <row r="29" spans="1:22" ht="18" customHeight="1" x14ac:dyDescent="0.2">
      <c r="A29" s="832"/>
      <c r="B29" s="859"/>
      <c r="C29" s="811"/>
      <c r="D29" s="840"/>
      <c r="E29" s="850"/>
      <c r="F29" s="843"/>
      <c r="G29" s="317" t="s">
        <v>23</v>
      </c>
      <c r="H29" s="298">
        <f>SUM(H27:H28)</f>
        <v>40</v>
      </c>
      <c r="I29" s="298"/>
      <c r="J29" s="298"/>
      <c r="K29" s="298"/>
      <c r="L29" s="298"/>
      <c r="M29" s="298"/>
      <c r="N29" s="325">
        <f>SUM(N27:N28)</f>
        <v>40</v>
      </c>
      <c r="O29" s="631"/>
      <c r="P29" s="547"/>
      <c r="Q29" s="547"/>
      <c r="R29" s="547"/>
      <c r="S29" s="547"/>
      <c r="T29" s="879"/>
      <c r="U29" s="855"/>
      <c r="V29" s="823"/>
    </row>
    <row r="30" spans="1:22" ht="18" customHeight="1" x14ac:dyDescent="0.2">
      <c r="A30" s="800" t="s">
        <v>36</v>
      </c>
      <c r="B30" s="802" t="s">
        <v>50</v>
      </c>
      <c r="C30" s="808" t="s">
        <v>55</v>
      </c>
      <c r="D30" s="839" t="s">
        <v>546</v>
      </c>
      <c r="E30" s="849" t="s">
        <v>114</v>
      </c>
      <c r="F30" s="842">
        <v>191415943</v>
      </c>
      <c r="G30" s="312" t="s">
        <v>141</v>
      </c>
      <c r="H30" s="297">
        <v>36</v>
      </c>
      <c r="I30" s="323"/>
      <c r="J30" s="323"/>
      <c r="K30" s="323"/>
      <c r="L30" s="323"/>
      <c r="M30" s="323"/>
      <c r="N30" s="315">
        <f>H30+L30+M30</f>
        <v>36</v>
      </c>
      <c r="O30" s="462" t="s">
        <v>545</v>
      </c>
      <c r="P30" s="536" t="s">
        <v>62</v>
      </c>
      <c r="Q30" s="536">
        <v>1</v>
      </c>
      <c r="R30" s="536">
        <v>0</v>
      </c>
      <c r="S30" s="536">
        <v>0</v>
      </c>
      <c r="T30" s="497" t="s">
        <v>138</v>
      </c>
      <c r="U30" s="855"/>
      <c r="V30" s="823"/>
    </row>
    <row r="31" spans="1:22" ht="18" customHeight="1" x14ac:dyDescent="0.2">
      <c r="A31" s="832"/>
      <c r="B31" s="859"/>
      <c r="C31" s="811"/>
      <c r="D31" s="840"/>
      <c r="E31" s="850"/>
      <c r="F31" s="843"/>
      <c r="G31" s="322" t="s">
        <v>40</v>
      </c>
      <c r="H31" s="323">
        <v>17</v>
      </c>
      <c r="I31" s="323"/>
      <c r="J31" s="323"/>
      <c r="K31" s="323"/>
      <c r="L31" s="323"/>
      <c r="M31" s="323"/>
      <c r="N31" s="315">
        <f>H31+L31+M31</f>
        <v>17</v>
      </c>
      <c r="O31" s="631"/>
      <c r="P31" s="547"/>
      <c r="Q31" s="547"/>
      <c r="R31" s="547"/>
      <c r="S31" s="547"/>
      <c r="T31" s="879"/>
      <c r="U31" s="855"/>
      <c r="V31" s="823"/>
    </row>
    <row r="32" spans="1:22" ht="12.95" customHeight="1" x14ac:dyDescent="0.2">
      <c r="A32" s="801"/>
      <c r="B32" s="803"/>
      <c r="C32" s="809"/>
      <c r="D32" s="841"/>
      <c r="E32" s="851"/>
      <c r="F32" s="843"/>
      <c r="G32" s="324" t="s">
        <v>23</v>
      </c>
      <c r="H32" s="325">
        <f t="shared" ref="H32:N32" si="5">SUM(H31)</f>
        <v>17</v>
      </c>
      <c r="I32" s="325">
        <f t="shared" si="5"/>
        <v>0</v>
      </c>
      <c r="J32" s="325">
        <f t="shared" si="5"/>
        <v>0</v>
      </c>
      <c r="K32" s="325">
        <f t="shared" si="5"/>
        <v>0</v>
      </c>
      <c r="L32" s="325">
        <f t="shared" si="5"/>
        <v>0</v>
      </c>
      <c r="M32" s="325">
        <f t="shared" si="5"/>
        <v>0</v>
      </c>
      <c r="N32" s="325">
        <f t="shared" si="5"/>
        <v>17</v>
      </c>
      <c r="O32" s="463"/>
      <c r="P32" s="537"/>
      <c r="Q32" s="537"/>
      <c r="R32" s="537"/>
      <c r="S32" s="537"/>
      <c r="T32" s="498"/>
      <c r="U32" s="855"/>
      <c r="V32" s="823"/>
    </row>
    <row r="33" spans="1:22" ht="18" customHeight="1" x14ac:dyDescent="0.2">
      <c r="A33" s="800" t="s">
        <v>36</v>
      </c>
      <c r="B33" s="802" t="s">
        <v>50</v>
      </c>
      <c r="C33" s="808" t="s">
        <v>169</v>
      </c>
      <c r="D33" s="839" t="s">
        <v>547</v>
      </c>
      <c r="E33" s="849" t="s">
        <v>114</v>
      </c>
      <c r="F33" s="842">
        <v>191415758</v>
      </c>
      <c r="G33" s="312" t="s">
        <v>141</v>
      </c>
      <c r="H33" s="297">
        <v>96</v>
      </c>
      <c r="I33" s="323"/>
      <c r="J33" s="323"/>
      <c r="K33" s="323"/>
      <c r="L33" s="323"/>
      <c r="M33" s="323"/>
      <c r="N33" s="315">
        <f>H33+L33+M33</f>
        <v>96</v>
      </c>
      <c r="O33" s="462" t="s">
        <v>545</v>
      </c>
      <c r="P33" s="536" t="s">
        <v>62</v>
      </c>
      <c r="Q33" s="536">
        <v>1</v>
      </c>
      <c r="R33" s="536">
        <v>0</v>
      </c>
      <c r="S33" s="536">
        <v>0</v>
      </c>
      <c r="T33" s="497" t="s">
        <v>138</v>
      </c>
      <c r="U33" s="880"/>
      <c r="V33" s="823"/>
    </row>
    <row r="34" spans="1:22" ht="18" customHeight="1" x14ac:dyDescent="0.2">
      <c r="A34" s="832"/>
      <c r="B34" s="859"/>
      <c r="C34" s="811"/>
      <c r="D34" s="840"/>
      <c r="E34" s="850"/>
      <c r="F34" s="843"/>
      <c r="G34" s="322" t="s">
        <v>40</v>
      </c>
      <c r="H34" s="323">
        <v>21</v>
      </c>
      <c r="I34" s="323"/>
      <c r="J34" s="323"/>
      <c r="K34" s="323"/>
      <c r="L34" s="323"/>
      <c r="M34" s="323"/>
      <c r="N34" s="315">
        <f>H34+L34+M34</f>
        <v>21</v>
      </c>
      <c r="O34" s="631"/>
      <c r="P34" s="547"/>
      <c r="Q34" s="547"/>
      <c r="R34" s="547"/>
      <c r="S34" s="547"/>
      <c r="T34" s="879"/>
      <c r="U34" s="880"/>
      <c r="V34" s="823"/>
    </row>
    <row r="35" spans="1:22" ht="12.95" customHeight="1" x14ac:dyDescent="0.2">
      <c r="A35" s="801"/>
      <c r="B35" s="803"/>
      <c r="C35" s="809"/>
      <c r="D35" s="841"/>
      <c r="E35" s="851"/>
      <c r="F35" s="843"/>
      <c r="G35" s="324" t="s">
        <v>23</v>
      </c>
      <c r="H35" s="325">
        <f t="shared" ref="H35:N35" si="6">SUM(H34)</f>
        <v>21</v>
      </c>
      <c r="I35" s="325">
        <f t="shared" si="6"/>
        <v>0</v>
      </c>
      <c r="J35" s="325">
        <f t="shared" si="6"/>
        <v>0</v>
      </c>
      <c r="K35" s="325">
        <f t="shared" si="6"/>
        <v>0</v>
      </c>
      <c r="L35" s="325">
        <f t="shared" si="6"/>
        <v>0</v>
      </c>
      <c r="M35" s="325">
        <f t="shared" si="6"/>
        <v>0</v>
      </c>
      <c r="N35" s="325">
        <f t="shared" si="6"/>
        <v>21</v>
      </c>
      <c r="O35" s="463"/>
      <c r="P35" s="537"/>
      <c r="Q35" s="537"/>
      <c r="R35" s="537"/>
      <c r="S35" s="537"/>
      <c r="T35" s="498"/>
      <c r="U35" s="880"/>
      <c r="V35" s="823"/>
    </row>
    <row r="36" spans="1:22" ht="12.95" customHeight="1" x14ac:dyDescent="0.2">
      <c r="A36" s="800" t="s">
        <v>36</v>
      </c>
      <c r="B36" s="802" t="s">
        <v>50</v>
      </c>
      <c r="C36" s="808" t="s">
        <v>107</v>
      </c>
      <c r="D36" s="839" t="s">
        <v>548</v>
      </c>
      <c r="E36" s="849" t="s">
        <v>114</v>
      </c>
      <c r="F36" s="842">
        <v>191417570</v>
      </c>
      <c r="G36" s="312" t="s">
        <v>141</v>
      </c>
      <c r="H36" s="297">
        <v>7.9</v>
      </c>
      <c r="I36" s="323"/>
      <c r="J36" s="323"/>
      <c r="K36" s="323"/>
      <c r="L36" s="323"/>
      <c r="M36" s="323"/>
      <c r="N36" s="315">
        <f>H36+L36+M36</f>
        <v>7.9</v>
      </c>
      <c r="O36" s="462" t="s">
        <v>545</v>
      </c>
      <c r="P36" s="536" t="s">
        <v>62</v>
      </c>
      <c r="Q36" s="536">
        <v>1</v>
      </c>
      <c r="R36" s="536">
        <v>0</v>
      </c>
      <c r="S36" s="536">
        <v>0</v>
      </c>
      <c r="T36" s="497" t="s">
        <v>138</v>
      </c>
      <c r="U36" s="358"/>
      <c r="V36" s="359"/>
    </row>
    <row r="37" spans="1:22" ht="12.95" customHeight="1" x14ac:dyDescent="0.2">
      <c r="A37" s="832"/>
      <c r="B37" s="859"/>
      <c r="C37" s="811"/>
      <c r="D37" s="840"/>
      <c r="E37" s="850"/>
      <c r="F37" s="843"/>
      <c r="G37" s="322" t="s">
        <v>40</v>
      </c>
      <c r="H37" s="323">
        <v>4</v>
      </c>
      <c r="I37" s="323"/>
      <c r="J37" s="323"/>
      <c r="K37" s="323"/>
      <c r="L37" s="323"/>
      <c r="M37" s="323"/>
      <c r="N37" s="315">
        <f>H37+L37+M37</f>
        <v>4</v>
      </c>
      <c r="O37" s="631"/>
      <c r="P37" s="547"/>
      <c r="Q37" s="547"/>
      <c r="R37" s="547"/>
      <c r="S37" s="547"/>
      <c r="T37" s="879"/>
      <c r="U37" s="358"/>
      <c r="V37" s="359"/>
    </row>
    <row r="38" spans="1:22" ht="21.75" customHeight="1" x14ac:dyDescent="0.2">
      <c r="A38" s="801"/>
      <c r="B38" s="803"/>
      <c r="C38" s="809"/>
      <c r="D38" s="841"/>
      <c r="E38" s="851"/>
      <c r="F38" s="843"/>
      <c r="G38" s="324" t="s">
        <v>23</v>
      </c>
      <c r="H38" s="325">
        <f t="shared" ref="H38:N38" si="7">SUM(H37)</f>
        <v>4</v>
      </c>
      <c r="I38" s="325">
        <f t="shared" si="7"/>
        <v>0</v>
      </c>
      <c r="J38" s="325">
        <f t="shared" si="7"/>
        <v>0</v>
      </c>
      <c r="K38" s="325">
        <f t="shared" si="7"/>
        <v>0</v>
      </c>
      <c r="L38" s="325">
        <f t="shared" si="7"/>
        <v>0</v>
      </c>
      <c r="M38" s="325">
        <f t="shared" si="7"/>
        <v>0</v>
      </c>
      <c r="N38" s="325">
        <f t="shared" si="7"/>
        <v>4</v>
      </c>
      <c r="O38" s="463"/>
      <c r="P38" s="537"/>
      <c r="Q38" s="537"/>
      <c r="R38" s="537"/>
      <c r="S38" s="537"/>
      <c r="T38" s="498"/>
      <c r="U38" s="358"/>
      <c r="V38" s="359"/>
    </row>
    <row r="39" spans="1:22" ht="14.25" customHeight="1" x14ac:dyDescent="0.2">
      <c r="A39" s="559" t="s">
        <v>236</v>
      </c>
      <c r="B39" s="560"/>
      <c r="C39" s="560"/>
      <c r="D39" s="560"/>
      <c r="E39" s="560"/>
      <c r="F39" s="560"/>
      <c r="G39" s="561"/>
      <c r="H39" s="227">
        <f t="shared" ref="H39:N39" si="8">+SUM(H40:H47)</f>
        <v>337</v>
      </c>
      <c r="I39" s="227" t="e">
        <f t="shared" si="8"/>
        <v>#REF!</v>
      </c>
      <c r="J39" s="227" t="e">
        <f t="shared" si="8"/>
        <v>#REF!</v>
      </c>
      <c r="K39" s="227" t="e">
        <f t="shared" si="8"/>
        <v>#REF!</v>
      </c>
      <c r="L39" s="227">
        <f t="shared" si="8"/>
        <v>113.50500000000001</v>
      </c>
      <c r="M39" s="227">
        <f t="shared" si="8"/>
        <v>119.18025000000002</v>
      </c>
      <c r="N39" s="227">
        <f t="shared" si="8"/>
        <v>562.68525</v>
      </c>
      <c r="O39" s="227"/>
      <c r="P39" s="227"/>
      <c r="Q39" s="227"/>
      <c r="R39" s="227"/>
      <c r="S39" s="227"/>
      <c r="T39" s="134"/>
    </row>
    <row r="40" spans="1:22" ht="14.25" customHeight="1" x14ac:dyDescent="0.2">
      <c r="A40" s="556"/>
      <c r="B40" s="557"/>
      <c r="C40" s="557"/>
      <c r="D40" s="557"/>
      <c r="E40" s="557"/>
      <c r="F40" s="558"/>
      <c r="G40" s="34" t="s">
        <v>40</v>
      </c>
      <c r="H40" s="228">
        <f>+H8+H16+H34+H23+H25+H31+H28+H37+H18</f>
        <v>170.1</v>
      </c>
      <c r="I40" s="228" t="e">
        <f>+I8+I16+#REF!+I33+I23+I25</f>
        <v>#REF!</v>
      </c>
      <c r="J40" s="228" t="e">
        <f>+J8+J16+#REF!+J33+J23+J25</f>
        <v>#REF!</v>
      </c>
      <c r="K40" s="228" t="e">
        <f>+K8+K16+#REF!+K33+K23+K25</f>
        <v>#REF!</v>
      </c>
      <c r="L40" s="228">
        <f>+L8+L16+L34+L23+L25</f>
        <v>113.50500000000001</v>
      </c>
      <c r="M40" s="228">
        <f>+M8+M16+M34+M23+M25+M31+M28</f>
        <v>119.18025000000002</v>
      </c>
      <c r="N40" s="228">
        <f>+N8+N16+N34+N23+N25+N31+N28+N37</f>
        <v>395.78525000000002</v>
      </c>
      <c r="O40" s="326"/>
      <c r="P40" s="327"/>
      <c r="Q40" s="327"/>
      <c r="R40" s="327"/>
      <c r="S40" s="327"/>
      <c r="T40" s="328"/>
    </row>
    <row r="41" spans="1:22" ht="14.25" customHeight="1" x14ac:dyDescent="0.2">
      <c r="A41" s="556"/>
      <c r="B41" s="557"/>
      <c r="C41" s="557"/>
      <c r="D41" s="557"/>
      <c r="E41" s="557"/>
      <c r="F41" s="558"/>
      <c r="G41" s="34" t="s">
        <v>53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326"/>
      <c r="P41" s="327"/>
      <c r="Q41" s="327"/>
      <c r="R41" s="327"/>
      <c r="S41" s="327"/>
      <c r="T41" s="328"/>
    </row>
    <row r="42" spans="1:22" ht="14.25" customHeight="1" x14ac:dyDescent="0.2">
      <c r="A42" s="556"/>
      <c r="B42" s="557"/>
      <c r="C42" s="557"/>
      <c r="D42" s="557"/>
      <c r="E42" s="557"/>
      <c r="F42" s="558"/>
      <c r="G42" s="34" t="s">
        <v>178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329"/>
      <c r="P42" s="327"/>
      <c r="Q42" s="327"/>
      <c r="R42" s="327"/>
      <c r="S42" s="327"/>
      <c r="T42" s="328"/>
    </row>
    <row r="43" spans="1:22" ht="14.25" customHeight="1" x14ac:dyDescent="0.2">
      <c r="A43" s="556"/>
      <c r="B43" s="557"/>
      <c r="C43" s="557"/>
      <c r="D43" s="557"/>
      <c r="E43" s="557"/>
      <c r="F43" s="558"/>
      <c r="G43" s="34" t="s">
        <v>141</v>
      </c>
      <c r="H43" s="4">
        <f>+H15+H22+H33+H30+H27+H36</f>
        <v>166.9</v>
      </c>
      <c r="I43" s="4">
        <f t="shared" ref="I43:M43" si="9">+I15+I22</f>
        <v>0</v>
      </c>
      <c r="J43" s="4">
        <f t="shared" si="9"/>
        <v>0</v>
      </c>
      <c r="K43" s="4">
        <f t="shared" si="9"/>
        <v>0</v>
      </c>
      <c r="L43" s="4">
        <f t="shared" si="9"/>
        <v>0</v>
      </c>
      <c r="M43" s="4">
        <f t="shared" si="9"/>
        <v>0</v>
      </c>
      <c r="N43" s="4">
        <f>N15+N22+N27+N30+N33+N36</f>
        <v>166.9</v>
      </c>
      <c r="O43" s="326"/>
      <c r="P43" s="330"/>
      <c r="Q43" s="330"/>
      <c r="R43" s="330"/>
      <c r="S43" s="330"/>
      <c r="T43" s="328"/>
    </row>
    <row r="44" spans="1:22" ht="14.25" customHeight="1" x14ac:dyDescent="0.2">
      <c r="A44" s="876"/>
      <c r="B44" s="877"/>
      <c r="C44" s="877"/>
      <c r="D44" s="877"/>
      <c r="E44" s="877"/>
      <c r="F44" s="878"/>
      <c r="G44" s="44" t="s">
        <v>179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326"/>
      <c r="P44" s="327"/>
      <c r="Q44" s="327"/>
      <c r="R44" s="327"/>
      <c r="S44" s="327"/>
      <c r="T44" s="333"/>
    </row>
    <row r="45" spans="1:22" ht="14.25" customHeight="1" x14ac:dyDescent="0.2">
      <c r="A45" s="272"/>
      <c r="B45" s="331"/>
      <c r="C45" s="331"/>
      <c r="D45" s="331"/>
      <c r="E45" s="331"/>
      <c r="F45" s="332"/>
      <c r="G45" s="44" t="s">
        <v>95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326"/>
      <c r="P45" s="327"/>
      <c r="Q45" s="327"/>
      <c r="R45" s="327"/>
      <c r="S45" s="327"/>
      <c r="T45" s="333"/>
    </row>
    <row r="46" spans="1:22" ht="14.25" customHeight="1" x14ac:dyDescent="0.2">
      <c r="A46" s="272"/>
      <c r="B46" s="331"/>
      <c r="C46" s="331"/>
      <c r="D46" s="331"/>
      <c r="E46" s="331"/>
      <c r="F46" s="332"/>
      <c r="G46" s="44" t="s">
        <v>238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326"/>
      <c r="P46" s="327"/>
      <c r="Q46" s="327"/>
      <c r="R46" s="327"/>
      <c r="S46" s="327"/>
      <c r="T46" s="333"/>
    </row>
    <row r="47" spans="1:22" ht="14.25" customHeight="1" x14ac:dyDescent="0.2">
      <c r="A47" s="876"/>
      <c r="B47" s="877"/>
      <c r="C47" s="877"/>
      <c r="D47" s="877"/>
      <c r="E47" s="877"/>
      <c r="F47" s="878"/>
      <c r="G47" s="44" t="s">
        <v>144</v>
      </c>
      <c r="H47" s="4">
        <f t="shared" ref="H47:N47" si="10">+H14+H21</f>
        <v>0</v>
      </c>
      <c r="I47" s="4">
        <f t="shared" si="10"/>
        <v>0</v>
      </c>
      <c r="J47" s="4">
        <f t="shared" si="10"/>
        <v>0</v>
      </c>
      <c r="K47" s="4">
        <f t="shared" si="10"/>
        <v>0</v>
      </c>
      <c r="L47" s="4">
        <f t="shared" si="10"/>
        <v>0</v>
      </c>
      <c r="M47" s="4">
        <f t="shared" si="10"/>
        <v>0</v>
      </c>
      <c r="N47" s="4">
        <f t="shared" si="10"/>
        <v>0</v>
      </c>
      <c r="O47" s="329"/>
      <c r="P47" s="327"/>
      <c r="Q47" s="327"/>
      <c r="R47" s="327"/>
      <c r="S47" s="327"/>
      <c r="T47" s="333"/>
    </row>
    <row r="48" spans="1:22" ht="14.25" customHeight="1" x14ac:dyDescent="0.2">
      <c r="O48" s="335"/>
      <c r="P48" s="335"/>
      <c r="Q48" s="335"/>
      <c r="R48" s="335"/>
      <c r="S48" s="335"/>
    </row>
    <row r="49" spans="15:19" ht="14.25" customHeight="1" x14ac:dyDescent="0.2">
      <c r="O49" s="335"/>
      <c r="P49" s="335"/>
      <c r="Q49" s="335"/>
      <c r="R49" s="335"/>
      <c r="S49" s="335"/>
    </row>
    <row r="50" spans="15:19" ht="14.25" customHeight="1" x14ac:dyDescent="0.2">
      <c r="O50" s="303"/>
      <c r="P50" s="336"/>
      <c r="Q50" s="336"/>
      <c r="R50" s="336"/>
      <c r="S50" s="336"/>
    </row>
    <row r="51" spans="15:19" ht="14.25" customHeight="1" x14ac:dyDescent="0.2">
      <c r="O51" s="303"/>
      <c r="P51" s="334"/>
      <c r="Q51" s="336"/>
      <c r="R51" s="336"/>
      <c r="S51" s="336"/>
    </row>
    <row r="52" spans="15:19" ht="14.25" customHeight="1" x14ac:dyDescent="0.2">
      <c r="O52" s="303"/>
      <c r="P52" s="334"/>
      <c r="Q52" s="336"/>
      <c r="R52" s="336"/>
      <c r="S52" s="336"/>
    </row>
    <row r="53" spans="15:19" ht="14.25" customHeight="1" x14ac:dyDescent="0.2">
      <c r="O53" s="303"/>
      <c r="P53" s="334"/>
      <c r="Q53" s="336"/>
      <c r="R53" s="336"/>
      <c r="S53" s="336"/>
    </row>
    <row r="54" spans="15:19" ht="14.25" customHeight="1" x14ac:dyDescent="0.2">
      <c r="O54" s="303"/>
      <c r="P54" s="334"/>
      <c r="Q54" s="336"/>
      <c r="R54" s="336"/>
      <c r="S54" s="336"/>
    </row>
    <row r="55" spans="15:19" ht="14.25" customHeight="1" x14ac:dyDescent="0.2">
      <c r="O55" s="303"/>
      <c r="P55" s="334"/>
      <c r="Q55" s="336"/>
      <c r="R55" s="336"/>
      <c r="S55" s="336"/>
    </row>
    <row r="56" spans="15:19" ht="14.25" customHeight="1" x14ac:dyDescent="0.2">
      <c r="O56" s="303"/>
      <c r="P56" s="334"/>
      <c r="Q56" s="336"/>
      <c r="R56" s="336"/>
      <c r="S56" s="336"/>
    </row>
    <row r="57" spans="15:19" ht="14.25" customHeight="1" x14ac:dyDescent="0.2">
      <c r="O57" s="303"/>
      <c r="P57" s="334"/>
    </row>
    <row r="58" spans="15:19" ht="14.25" customHeight="1" x14ac:dyDescent="0.2">
      <c r="O58" s="303"/>
      <c r="P58" s="334"/>
    </row>
    <row r="59" spans="15:19" ht="14.25" customHeight="1" x14ac:dyDescent="0.2"/>
    <row r="60" spans="15:19" ht="14.25" customHeight="1" x14ac:dyDescent="0.2"/>
    <row r="61" spans="15:19" ht="14.25" customHeight="1" x14ac:dyDescent="0.2"/>
    <row r="62" spans="15:19" ht="14.25" customHeight="1" x14ac:dyDescent="0.2"/>
    <row r="63" spans="15:19" ht="14.25" customHeight="1" x14ac:dyDescent="0.2"/>
    <row r="64" spans="15:19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</sheetData>
  <mergeCells count="163">
    <mergeCell ref="Q36:Q38"/>
    <mergeCell ref="R36:R38"/>
    <mergeCell ref="S36:S38"/>
    <mergeCell ref="T36:T38"/>
    <mergeCell ref="O18:O19"/>
    <mergeCell ref="P18:P19"/>
    <mergeCell ref="Q18:Q19"/>
    <mergeCell ref="R18:R19"/>
    <mergeCell ref="S18:S19"/>
    <mergeCell ref="T18:T19"/>
    <mergeCell ref="T33:T35"/>
    <mergeCell ref="T25:T26"/>
    <mergeCell ref="T21:T24"/>
    <mergeCell ref="U33:U35"/>
    <mergeCell ref="V33:V35"/>
    <mergeCell ref="A39:G39"/>
    <mergeCell ref="A40:F40"/>
    <mergeCell ref="A41:F41"/>
    <mergeCell ref="F33:F35"/>
    <mergeCell ref="O33:O35"/>
    <mergeCell ref="P33:P35"/>
    <mergeCell ref="Q33:Q35"/>
    <mergeCell ref="R33:R35"/>
    <mergeCell ref="S33:S35"/>
    <mergeCell ref="A33:A35"/>
    <mergeCell ref="B33:B35"/>
    <mergeCell ref="C33:C35"/>
    <mergeCell ref="D33:D35"/>
    <mergeCell ref="E33:E35"/>
    <mergeCell ref="A36:A38"/>
    <mergeCell ref="B36:B38"/>
    <mergeCell ref="C36:C38"/>
    <mergeCell ref="D36:D38"/>
    <mergeCell ref="E36:E38"/>
    <mergeCell ref="F36:F38"/>
    <mergeCell ref="O36:O38"/>
    <mergeCell ref="P36:P38"/>
    <mergeCell ref="A42:F42"/>
    <mergeCell ref="A43:F43"/>
    <mergeCell ref="A44:F44"/>
    <mergeCell ref="A47:F47"/>
    <mergeCell ref="V27:V29"/>
    <mergeCell ref="A30:A32"/>
    <mergeCell ref="B30:B32"/>
    <mergeCell ref="C30:C32"/>
    <mergeCell ref="D30:D32"/>
    <mergeCell ref="E30:E32"/>
    <mergeCell ref="F30:F32"/>
    <mergeCell ref="O30:O32"/>
    <mergeCell ref="P30:P32"/>
    <mergeCell ref="Q30:Q32"/>
    <mergeCell ref="P27:P29"/>
    <mergeCell ref="Q27:Q29"/>
    <mergeCell ref="R27:R29"/>
    <mergeCell ref="S27:S29"/>
    <mergeCell ref="T27:T29"/>
    <mergeCell ref="U27:U29"/>
    <mergeCell ref="R30:R32"/>
    <mergeCell ref="S30:S32"/>
    <mergeCell ref="T30:T32"/>
    <mergeCell ref="U30:U32"/>
    <mergeCell ref="U25:U26"/>
    <mergeCell ref="V25:V26"/>
    <mergeCell ref="V30:V32"/>
    <mergeCell ref="A27:A29"/>
    <mergeCell ref="B27:B29"/>
    <mergeCell ref="C27:C29"/>
    <mergeCell ref="D27:D29"/>
    <mergeCell ref="E27:E29"/>
    <mergeCell ref="F27:F29"/>
    <mergeCell ref="O27:O29"/>
    <mergeCell ref="A25:A26"/>
    <mergeCell ref="B25:B26"/>
    <mergeCell ref="C25:C26"/>
    <mergeCell ref="D25:D26"/>
    <mergeCell ref="E25:E26"/>
    <mergeCell ref="F25:F26"/>
    <mergeCell ref="A18:A19"/>
    <mergeCell ref="C18:C19"/>
    <mergeCell ref="B18:B19"/>
    <mergeCell ref="D18:D19"/>
    <mergeCell ref="E18:E19"/>
    <mergeCell ref="U21:U24"/>
    <mergeCell ref="V21:V24"/>
    <mergeCell ref="O23:O24"/>
    <mergeCell ref="P23:P24"/>
    <mergeCell ref="Q23:Q24"/>
    <mergeCell ref="R23:R24"/>
    <mergeCell ref="S23:S24"/>
    <mergeCell ref="C20:T20"/>
    <mergeCell ref="A21:A24"/>
    <mergeCell ref="B21:B24"/>
    <mergeCell ref="C21:C24"/>
    <mergeCell ref="D21:D24"/>
    <mergeCell ref="E21:E24"/>
    <mergeCell ref="F21:F24"/>
    <mergeCell ref="O21:O22"/>
    <mergeCell ref="P21:P22"/>
    <mergeCell ref="Q21:Q22"/>
    <mergeCell ref="R21:R22"/>
    <mergeCell ref="S21:S22"/>
    <mergeCell ref="U14:U17"/>
    <mergeCell ref="V14:V17"/>
    <mergeCell ref="O16:O17"/>
    <mergeCell ref="P16:P17"/>
    <mergeCell ref="Q16:Q17"/>
    <mergeCell ref="R16:R17"/>
    <mergeCell ref="S16:S17"/>
    <mergeCell ref="T16:T17"/>
    <mergeCell ref="O14:O15"/>
    <mergeCell ref="P14:P15"/>
    <mergeCell ref="Q14:Q15"/>
    <mergeCell ref="R14:R15"/>
    <mergeCell ref="S14:S15"/>
    <mergeCell ref="T14:T15"/>
    <mergeCell ref="C13:T13"/>
    <mergeCell ref="A14:A17"/>
    <mergeCell ref="B14:B17"/>
    <mergeCell ref="C14:C17"/>
    <mergeCell ref="D14:D17"/>
    <mergeCell ref="E14:E17"/>
    <mergeCell ref="F14:F17"/>
    <mergeCell ref="A11:A12"/>
    <mergeCell ref="B11:B12"/>
    <mergeCell ref="C11:C12"/>
    <mergeCell ref="D11:D12"/>
    <mergeCell ref="E11:E12"/>
    <mergeCell ref="F11:F12"/>
    <mergeCell ref="T8:T10"/>
    <mergeCell ref="U8:U10"/>
    <mergeCell ref="V8:V10"/>
    <mergeCell ref="O9:O10"/>
    <mergeCell ref="P9:P10"/>
    <mergeCell ref="Q9:Q10"/>
    <mergeCell ref="R9:R10"/>
    <mergeCell ref="S9:S10"/>
    <mergeCell ref="T11:T12"/>
    <mergeCell ref="U11:U12"/>
    <mergeCell ref="V11:V12"/>
    <mergeCell ref="F18:F19"/>
    <mergeCell ref="T2:T4"/>
    <mergeCell ref="H3:H4"/>
    <mergeCell ref="I3:K3"/>
    <mergeCell ref="Q3:S3"/>
    <mergeCell ref="C7:T7"/>
    <mergeCell ref="A8:A10"/>
    <mergeCell ref="B8:B10"/>
    <mergeCell ref="C8:C10"/>
    <mergeCell ref="D8:D10"/>
    <mergeCell ref="E8:E10"/>
    <mergeCell ref="G2:G4"/>
    <mergeCell ref="H2:K2"/>
    <mergeCell ref="L2:L4"/>
    <mergeCell ref="M2:M4"/>
    <mergeCell ref="N2:N4"/>
    <mergeCell ref="O2:S2"/>
    <mergeCell ref="A2:A4"/>
    <mergeCell ref="B2:B4"/>
    <mergeCell ref="C2:C4"/>
    <mergeCell ref="D2:D4"/>
    <mergeCell ref="E2:E4"/>
    <mergeCell ref="F2:F4"/>
    <mergeCell ref="F8:F1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4EA8-2899-4BDB-A18D-9BEB99786F8B}">
  <dimension ref="A2:U333"/>
  <sheetViews>
    <sheetView topLeftCell="A15" workbookViewId="0">
      <selection activeCell="H38" sqref="H38"/>
    </sheetView>
  </sheetViews>
  <sheetFormatPr defaultColWidth="9.140625" defaultRowHeight="15" outlineLevelCol="1" x14ac:dyDescent="0.2"/>
  <cols>
    <col min="1" max="2" width="4.42578125" style="13" customWidth="1"/>
    <col min="3" max="3" width="4.42578125" style="14" customWidth="1"/>
    <col min="4" max="4" width="54" style="55" customWidth="1"/>
    <col min="5" max="5" width="4.42578125" style="138" customWidth="1"/>
    <col min="6" max="6" width="16.5703125" style="55" customWidth="1"/>
    <col min="7" max="7" width="7" style="26" customWidth="1" outlineLevel="1"/>
    <col min="8" max="8" width="13.5703125" style="20" customWidth="1" outlineLevel="1"/>
    <col min="9" max="9" width="13.85546875" style="20" hidden="1" customWidth="1" outlineLevel="1"/>
    <col min="10" max="10" width="11.42578125" style="20" hidden="1" customWidth="1" outlineLevel="1"/>
    <col min="11" max="11" width="8.5703125" style="20" hidden="1" customWidth="1" outlineLevel="1"/>
    <col min="12" max="12" width="11.42578125" style="20" customWidth="1" outlineLevel="1"/>
    <col min="13" max="13" width="11.5703125" style="20" customWidth="1" outlineLevel="1"/>
    <col min="14" max="14" width="12.42578125" style="20" customWidth="1" outlineLevel="1"/>
    <col min="15" max="15" width="29.85546875" style="20" customWidth="1"/>
    <col min="16" max="16" width="8.42578125" style="20" customWidth="1"/>
    <col min="17" max="17" width="9.42578125" style="20" customWidth="1"/>
    <col min="18" max="19" width="10.140625" style="20" customWidth="1"/>
    <col min="20" max="20" width="19" style="141" customWidth="1"/>
    <col min="21" max="21" width="40.140625" style="18" customWidth="1"/>
    <col min="22" max="16384" width="9.140625" style="20"/>
  </cols>
  <sheetData>
    <row r="2" spans="1:21" ht="12.75" customHeight="1" x14ac:dyDescent="0.25">
      <c r="A2" s="881" t="s">
        <v>13</v>
      </c>
      <c r="B2" s="881" t="s">
        <v>14</v>
      </c>
      <c r="C2" s="884" t="s">
        <v>15</v>
      </c>
      <c r="D2" s="397" t="s">
        <v>16</v>
      </c>
      <c r="E2" s="566" t="s">
        <v>17</v>
      </c>
      <c r="F2" s="466" t="s">
        <v>18</v>
      </c>
      <c r="G2" s="466" t="s">
        <v>19</v>
      </c>
      <c r="H2" s="476" t="s">
        <v>20</v>
      </c>
      <c r="I2" s="477"/>
      <c r="J2" s="477"/>
      <c r="K2" s="478"/>
      <c r="L2" s="466" t="s">
        <v>21</v>
      </c>
      <c r="M2" s="466" t="s">
        <v>22</v>
      </c>
      <c r="N2" s="530" t="s">
        <v>23</v>
      </c>
      <c r="O2" s="475" t="s">
        <v>24</v>
      </c>
      <c r="P2" s="475"/>
      <c r="Q2" s="475"/>
      <c r="R2" s="475"/>
      <c r="S2" s="475"/>
      <c r="T2" s="469" t="s">
        <v>25</v>
      </c>
    </row>
    <row r="3" spans="1:21" ht="12.75" customHeight="1" x14ac:dyDescent="0.2">
      <c r="A3" s="882"/>
      <c r="B3" s="882"/>
      <c r="C3" s="885"/>
      <c r="D3" s="457"/>
      <c r="E3" s="567"/>
      <c r="F3" s="467"/>
      <c r="G3" s="467"/>
      <c r="H3" s="466" t="s">
        <v>23</v>
      </c>
      <c r="I3" s="480" t="s">
        <v>26</v>
      </c>
      <c r="J3" s="481"/>
      <c r="K3" s="482"/>
      <c r="L3" s="467"/>
      <c r="M3" s="467"/>
      <c r="N3" s="531"/>
      <c r="O3" s="71"/>
      <c r="P3" s="67"/>
      <c r="Q3" s="475" t="s">
        <v>27</v>
      </c>
      <c r="R3" s="475"/>
      <c r="S3" s="475"/>
      <c r="T3" s="470"/>
    </row>
    <row r="4" spans="1:21" ht="83.45" customHeight="1" x14ac:dyDescent="0.2">
      <c r="A4" s="883"/>
      <c r="B4" s="883"/>
      <c r="C4" s="886"/>
      <c r="D4" s="398"/>
      <c r="E4" s="568"/>
      <c r="F4" s="468"/>
      <c r="G4" s="468"/>
      <c r="H4" s="479"/>
      <c r="I4" s="21" t="s">
        <v>23</v>
      </c>
      <c r="J4" s="21" t="s">
        <v>28</v>
      </c>
      <c r="K4" s="21" t="s">
        <v>29</v>
      </c>
      <c r="L4" s="468"/>
      <c r="M4" s="468"/>
      <c r="N4" s="532"/>
      <c r="O4" s="72" t="s">
        <v>30</v>
      </c>
      <c r="P4" s="68" t="s">
        <v>31</v>
      </c>
      <c r="Q4" s="68" t="s">
        <v>32</v>
      </c>
      <c r="R4" s="68" t="s">
        <v>33</v>
      </c>
      <c r="S4" s="68" t="s">
        <v>34</v>
      </c>
      <c r="T4" s="471"/>
      <c r="U4" s="185"/>
    </row>
    <row r="5" spans="1:21" ht="20.25" customHeight="1" x14ac:dyDescent="0.2">
      <c r="A5" s="216" t="s">
        <v>549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8"/>
    </row>
    <row r="6" spans="1:21" x14ac:dyDescent="0.2">
      <c r="A6" s="27" t="s">
        <v>36</v>
      </c>
      <c r="B6" s="337" t="s">
        <v>550</v>
      </c>
      <c r="C6" s="29"/>
      <c r="D6" s="31"/>
      <c r="E6" s="29"/>
      <c r="F6" s="29"/>
      <c r="G6" s="31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5"/>
    </row>
    <row r="7" spans="1:21" ht="15" customHeight="1" x14ac:dyDescent="0.2">
      <c r="A7" s="27" t="s">
        <v>36</v>
      </c>
      <c r="B7" s="32" t="s">
        <v>36</v>
      </c>
      <c r="C7" s="424" t="s">
        <v>551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6"/>
    </row>
    <row r="8" spans="1:21" ht="25.5" x14ac:dyDescent="0.2">
      <c r="A8" s="404" t="s">
        <v>36</v>
      </c>
      <c r="B8" s="406" t="s">
        <v>36</v>
      </c>
      <c r="C8" s="540" t="s">
        <v>36</v>
      </c>
      <c r="D8" s="397" t="s">
        <v>552</v>
      </c>
      <c r="E8" s="444" t="s">
        <v>66</v>
      </c>
      <c r="F8" s="397">
        <v>188718713</v>
      </c>
      <c r="G8" s="130" t="s">
        <v>40</v>
      </c>
      <c r="H8" s="119">
        <v>502.4</v>
      </c>
      <c r="I8" s="119"/>
      <c r="J8" s="119"/>
      <c r="K8" s="119"/>
      <c r="L8" s="7">
        <f>H8*1.05</f>
        <v>527.52</v>
      </c>
      <c r="M8" s="7">
        <f>L8*1.05</f>
        <v>553.89599999999996</v>
      </c>
      <c r="N8" s="119">
        <f>H8+L8+M8</f>
        <v>1583.816</v>
      </c>
      <c r="O8" s="74" t="s">
        <v>553</v>
      </c>
      <c r="P8" s="128" t="s">
        <v>62</v>
      </c>
      <c r="Q8" s="128">
        <v>3</v>
      </c>
      <c r="R8" s="128">
        <v>3</v>
      </c>
      <c r="S8" s="128">
        <v>3</v>
      </c>
      <c r="T8" s="496" t="s">
        <v>187</v>
      </c>
    </row>
    <row r="9" spans="1:21" ht="12.75" x14ac:dyDescent="0.2">
      <c r="A9" s="447"/>
      <c r="B9" s="448"/>
      <c r="C9" s="540"/>
      <c r="D9" s="457"/>
      <c r="E9" s="444"/>
      <c r="F9" s="457"/>
      <c r="G9" s="130" t="s">
        <v>95</v>
      </c>
      <c r="H9" s="119"/>
      <c r="I9" s="119"/>
      <c r="J9" s="119"/>
      <c r="K9" s="119"/>
      <c r="L9" s="7"/>
      <c r="M9" s="7"/>
      <c r="N9" s="119"/>
      <c r="O9" s="382" t="s">
        <v>554</v>
      </c>
      <c r="P9" s="536" t="s">
        <v>62</v>
      </c>
      <c r="Q9" s="536">
        <v>20</v>
      </c>
      <c r="R9" s="536">
        <v>20</v>
      </c>
      <c r="S9" s="536">
        <v>20</v>
      </c>
      <c r="T9" s="496"/>
    </row>
    <row r="10" spans="1:21" ht="12.95" customHeight="1" x14ac:dyDescent="0.2">
      <c r="A10" s="405"/>
      <c r="B10" s="407"/>
      <c r="C10" s="540"/>
      <c r="D10" s="398"/>
      <c r="E10" s="444"/>
      <c r="F10" s="398"/>
      <c r="G10" s="126" t="s">
        <v>23</v>
      </c>
      <c r="H10" s="123">
        <f t="shared" ref="H10:N10" si="0">+H8+H9</f>
        <v>502.4</v>
      </c>
      <c r="I10" s="123">
        <f t="shared" si="0"/>
        <v>0</v>
      </c>
      <c r="J10" s="123">
        <f t="shared" si="0"/>
        <v>0</v>
      </c>
      <c r="K10" s="123">
        <f t="shared" si="0"/>
        <v>0</v>
      </c>
      <c r="L10" s="123">
        <f t="shared" si="0"/>
        <v>527.52</v>
      </c>
      <c r="M10" s="123">
        <f t="shared" si="0"/>
        <v>553.89599999999996</v>
      </c>
      <c r="N10" s="123">
        <f t="shared" si="0"/>
        <v>1583.816</v>
      </c>
      <c r="O10" s="387"/>
      <c r="P10" s="537"/>
      <c r="Q10" s="537"/>
      <c r="R10" s="537"/>
      <c r="S10" s="537"/>
      <c r="T10" s="496"/>
    </row>
    <row r="11" spans="1:21" ht="12.95" customHeight="1" x14ac:dyDescent="0.2">
      <c r="A11" s="102"/>
      <c r="B11" s="103"/>
      <c r="C11" s="125"/>
      <c r="D11" s="104"/>
      <c r="E11" s="106"/>
      <c r="F11" s="104"/>
      <c r="G11" s="126"/>
      <c r="H11" s="123"/>
      <c r="I11" s="123"/>
      <c r="J11" s="123"/>
      <c r="K11" s="123"/>
      <c r="L11" s="123"/>
      <c r="M11" s="123"/>
      <c r="N11" s="123"/>
      <c r="O11" s="105"/>
      <c r="P11" s="124"/>
      <c r="Q11" s="124"/>
      <c r="R11" s="124"/>
      <c r="S11" s="124"/>
      <c r="T11" s="108"/>
    </row>
    <row r="12" spans="1:21" ht="12.95" customHeight="1" x14ac:dyDescent="0.2">
      <c r="A12" s="102"/>
      <c r="B12" s="103"/>
      <c r="C12" s="125"/>
      <c r="D12" s="104"/>
      <c r="E12" s="106"/>
      <c r="F12" s="104"/>
      <c r="G12" s="126"/>
      <c r="H12" s="123"/>
      <c r="I12" s="123"/>
      <c r="J12" s="123"/>
      <c r="K12" s="123"/>
      <c r="L12" s="123"/>
      <c r="M12" s="123"/>
      <c r="N12" s="123"/>
      <c r="O12" s="105"/>
      <c r="P12" s="124"/>
      <c r="Q12" s="124"/>
      <c r="R12" s="124"/>
      <c r="S12" s="124"/>
      <c r="T12" s="108"/>
    </row>
    <row r="13" spans="1:21" ht="25.5" x14ac:dyDescent="0.2">
      <c r="A13" s="456" t="s">
        <v>36</v>
      </c>
      <c r="B13" s="443" t="s">
        <v>36</v>
      </c>
      <c r="C13" s="474" t="s">
        <v>46</v>
      </c>
      <c r="D13" s="397" t="s">
        <v>555</v>
      </c>
      <c r="E13" s="444" t="s">
        <v>66</v>
      </c>
      <c r="F13" s="397">
        <v>188718713</v>
      </c>
      <c r="G13" s="130" t="s">
        <v>40</v>
      </c>
      <c r="H13" s="119">
        <v>194</v>
      </c>
      <c r="I13" s="119"/>
      <c r="J13" s="119"/>
      <c r="K13" s="119"/>
      <c r="L13" s="7">
        <f>H13*1.05</f>
        <v>203.70000000000002</v>
      </c>
      <c r="M13" s="7">
        <f>L13*1.05</f>
        <v>213.88500000000002</v>
      </c>
      <c r="N13" s="119">
        <f>H13+L13+M13</f>
        <v>611.58500000000004</v>
      </c>
      <c r="O13" s="186" t="s">
        <v>556</v>
      </c>
      <c r="P13" s="128" t="s">
        <v>62</v>
      </c>
      <c r="Q13" s="128">
        <v>15</v>
      </c>
      <c r="R13" s="128">
        <v>15</v>
      </c>
      <c r="S13" s="128">
        <v>20</v>
      </c>
      <c r="T13" s="496" t="s">
        <v>187</v>
      </c>
    </row>
    <row r="14" spans="1:21" ht="12.75" x14ac:dyDescent="0.2">
      <c r="A14" s="456"/>
      <c r="B14" s="443"/>
      <c r="C14" s="474"/>
      <c r="D14" s="457"/>
      <c r="E14" s="444"/>
      <c r="F14" s="457"/>
      <c r="G14" s="130" t="s">
        <v>53</v>
      </c>
      <c r="H14" s="119">
        <v>1</v>
      </c>
      <c r="I14" s="119"/>
      <c r="J14" s="119"/>
      <c r="K14" s="119"/>
      <c r="L14" s="7">
        <f>H14*1.05</f>
        <v>1.05</v>
      </c>
      <c r="M14" s="7">
        <f>L14*1.05</f>
        <v>1.1025</v>
      </c>
      <c r="N14" s="119">
        <f>H14+L14+M14</f>
        <v>3.1524999999999999</v>
      </c>
      <c r="O14" s="186"/>
      <c r="P14" s="128"/>
      <c r="Q14" s="128"/>
      <c r="R14" s="128"/>
      <c r="S14" s="128"/>
      <c r="T14" s="496"/>
    </row>
    <row r="15" spans="1:21" ht="14.25" customHeight="1" x14ac:dyDescent="0.2">
      <c r="A15" s="456"/>
      <c r="B15" s="443"/>
      <c r="C15" s="474"/>
      <c r="D15" s="398"/>
      <c r="E15" s="444"/>
      <c r="F15" s="398"/>
      <c r="G15" s="126" t="s">
        <v>23</v>
      </c>
      <c r="H15" s="123">
        <f>+H13+H14</f>
        <v>195</v>
      </c>
      <c r="I15" s="123">
        <f t="shared" ref="I15:K15" si="1">+I13</f>
        <v>0</v>
      </c>
      <c r="J15" s="123">
        <f t="shared" si="1"/>
        <v>0</v>
      </c>
      <c r="K15" s="123">
        <f t="shared" si="1"/>
        <v>0</v>
      </c>
      <c r="L15" s="123">
        <f>+L13+L14</f>
        <v>204.75000000000003</v>
      </c>
      <c r="M15" s="123">
        <f>+M13+M14</f>
        <v>214.98750000000001</v>
      </c>
      <c r="N15" s="123">
        <f>+N13+N14</f>
        <v>614.73750000000007</v>
      </c>
      <c r="O15" s="338" t="s">
        <v>557</v>
      </c>
      <c r="P15" s="128" t="s">
        <v>62</v>
      </c>
      <c r="Q15" s="128">
        <v>20</v>
      </c>
      <c r="R15" s="128">
        <v>20</v>
      </c>
      <c r="S15" s="128">
        <v>20</v>
      </c>
      <c r="T15" s="496"/>
    </row>
    <row r="16" spans="1:21" ht="14.25" customHeight="1" x14ac:dyDescent="0.2">
      <c r="A16" s="404" t="s">
        <v>36</v>
      </c>
      <c r="B16" s="406" t="s">
        <v>36</v>
      </c>
      <c r="C16" s="408" t="s">
        <v>55</v>
      </c>
      <c r="D16" s="397" t="s">
        <v>558</v>
      </c>
      <c r="E16" s="410" t="s">
        <v>66</v>
      </c>
      <c r="F16" s="397">
        <v>188718713</v>
      </c>
      <c r="G16" s="130" t="s">
        <v>40</v>
      </c>
      <c r="H16" s="119">
        <v>25</v>
      </c>
      <c r="I16" s="119"/>
      <c r="J16" s="119"/>
      <c r="K16" s="119"/>
      <c r="L16" s="7">
        <f>H16*1.05</f>
        <v>26.25</v>
      </c>
      <c r="M16" s="7">
        <f>L16*1.05</f>
        <v>27.5625</v>
      </c>
      <c r="N16" s="119">
        <f>H16+L16+M16</f>
        <v>78.8125</v>
      </c>
      <c r="O16" s="887" t="s">
        <v>559</v>
      </c>
      <c r="P16" s="536" t="s">
        <v>62</v>
      </c>
      <c r="Q16" s="536">
        <v>8</v>
      </c>
      <c r="R16" s="536">
        <v>8</v>
      </c>
      <c r="S16" s="536">
        <v>8</v>
      </c>
      <c r="T16" s="496" t="s">
        <v>74</v>
      </c>
    </row>
    <row r="17" spans="1:20" ht="14.25" customHeight="1" x14ac:dyDescent="0.2">
      <c r="A17" s="405"/>
      <c r="B17" s="407"/>
      <c r="C17" s="409"/>
      <c r="D17" s="398"/>
      <c r="E17" s="411"/>
      <c r="F17" s="398"/>
      <c r="G17" s="126" t="s">
        <v>23</v>
      </c>
      <c r="H17" s="123">
        <f>+H16</f>
        <v>25</v>
      </c>
      <c r="I17" s="123">
        <f t="shared" ref="I17:N17" si="2">+I16</f>
        <v>0</v>
      </c>
      <c r="J17" s="123">
        <f t="shared" si="2"/>
        <v>0</v>
      </c>
      <c r="K17" s="123">
        <f t="shared" si="2"/>
        <v>0</v>
      </c>
      <c r="L17" s="123">
        <f t="shared" si="2"/>
        <v>26.25</v>
      </c>
      <c r="M17" s="123">
        <f t="shared" si="2"/>
        <v>27.5625</v>
      </c>
      <c r="N17" s="123">
        <f t="shared" si="2"/>
        <v>78.8125</v>
      </c>
      <c r="O17" s="888"/>
      <c r="P17" s="537"/>
      <c r="Q17" s="537"/>
      <c r="R17" s="537"/>
      <c r="S17" s="537"/>
      <c r="T17" s="496"/>
    </row>
    <row r="18" spans="1:20" ht="14.25" customHeight="1" x14ac:dyDescent="0.2">
      <c r="A18" s="456" t="s">
        <v>36</v>
      </c>
      <c r="B18" s="443" t="s">
        <v>36</v>
      </c>
      <c r="C18" s="474" t="s">
        <v>107</v>
      </c>
      <c r="D18" s="546" t="s">
        <v>560</v>
      </c>
      <c r="E18" s="540" t="s">
        <v>66</v>
      </c>
      <c r="F18" s="397">
        <v>188718713</v>
      </c>
      <c r="G18" s="130" t="s">
        <v>40</v>
      </c>
      <c r="H18" s="119">
        <v>35</v>
      </c>
      <c r="I18" s="119"/>
      <c r="J18" s="119"/>
      <c r="K18" s="119"/>
      <c r="L18" s="7">
        <f>H18*1.05</f>
        <v>36.75</v>
      </c>
      <c r="M18" s="7">
        <f>L18*1.05</f>
        <v>38.587499999999999</v>
      </c>
      <c r="N18" s="119">
        <f>H18+L18+M18</f>
        <v>110.33750000000001</v>
      </c>
      <c r="O18" s="887" t="s">
        <v>561</v>
      </c>
      <c r="P18" s="536" t="s">
        <v>62</v>
      </c>
      <c r="Q18" s="536">
        <v>27</v>
      </c>
      <c r="R18" s="536">
        <v>27</v>
      </c>
      <c r="S18" s="536">
        <v>27</v>
      </c>
      <c r="T18" s="496" t="s">
        <v>74</v>
      </c>
    </row>
    <row r="19" spans="1:20" ht="14.25" customHeight="1" x14ac:dyDescent="0.2">
      <c r="A19" s="456"/>
      <c r="B19" s="443"/>
      <c r="C19" s="474"/>
      <c r="D19" s="546"/>
      <c r="E19" s="540"/>
      <c r="F19" s="398"/>
      <c r="G19" s="126" t="s">
        <v>23</v>
      </c>
      <c r="H19" s="123">
        <f>+H18</f>
        <v>35</v>
      </c>
      <c r="I19" s="123">
        <f t="shared" ref="I19:N19" si="3">+I18</f>
        <v>0</v>
      </c>
      <c r="J19" s="123">
        <f t="shared" si="3"/>
        <v>0</v>
      </c>
      <c r="K19" s="123">
        <f t="shared" si="3"/>
        <v>0</v>
      </c>
      <c r="L19" s="123">
        <f t="shared" si="3"/>
        <v>36.75</v>
      </c>
      <c r="M19" s="123">
        <f t="shared" si="3"/>
        <v>38.587499999999999</v>
      </c>
      <c r="N19" s="123">
        <f t="shared" si="3"/>
        <v>110.33750000000001</v>
      </c>
      <c r="O19" s="888"/>
      <c r="P19" s="537"/>
      <c r="Q19" s="537"/>
      <c r="R19" s="537"/>
      <c r="S19" s="537"/>
      <c r="T19" s="496"/>
    </row>
    <row r="20" spans="1:20" ht="15" customHeight="1" x14ac:dyDescent="0.2">
      <c r="A20" s="27" t="s">
        <v>36</v>
      </c>
      <c r="B20" s="32" t="s">
        <v>46</v>
      </c>
      <c r="C20" s="424" t="s">
        <v>562</v>
      </c>
      <c r="D20" s="425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O20" s="425"/>
      <c r="P20" s="425"/>
      <c r="Q20" s="425"/>
      <c r="R20" s="425"/>
      <c r="S20" s="425"/>
      <c r="T20" s="426"/>
    </row>
    <row r="21" spans="1:20" ht="12.75" x14ac:dyDescent="0.2">
      <c r="A21" s="456" t="s">
        <v>36</v>
      </c>
      <c r="B21" s="443" t="s">
        <v>46</v>
      </c>
      <c r="C21" s="474"/>
      <c r="D21" s="397"/>
      <c r="E21" s="444"/>
      <c r="F21" s="397"/>
      <c r="G21" s="130" t="s">
        <v>40</v>
      </c>
      <c r="H21" s="119"/>
      <c r="I21" s="119"/>
      <c r="J21" s="119">
        <v>75.099999999999994</v>
      </c>
      <c r="K21" s="119"/>
      <c r="L21" s="7">
        <f>+(H21*0.05)+H21</f>
        <v>0</v>
      </c>
      <c r="M21" s="7">
        <f>+H21*0.1+H21</f>
        <v>0</v>
      </c>
      <c r="N21" s="119">
        <f>H21+L21+M21</f>
        <v>0</v>
      </c>
      <c r="O21" s="186"/>
      <c r="P21" s="128"/>
      <c r="Q21" s="128"/>
      <c r="R21" s="128"/>
      <c r="S21" s="128"/>
      <c r="T21" s="496"/>
    </row>
    <row r="22" spans="1:20" ht="14.25" customHeight="1" x14ac:dyDescent="0.2">
      <c r="A22" s="456"/>
      <c r="B22" s="443"/>
      <c r="C22" s="474"/>
      <c r="D22" s="398"/>
      <c r="E22" s="444"/>
      <c r="F22" s="398"/>
      <c r="G22" s="126" t="s">
        <v>23</v>
      </c>
      <c r="H22" s="123">
        <f t="shared" ref="H22:N22" si="4">+H21</f>
        <v>0</v>
      </c>
      <c r="I22" s="123">
        <f t="shared" si="4"/>
        <v>0</v>
      </c>
      <c r="J22" s="123">
        <f t="shared" si="4"/>
        <v>75.099999999999994</v>
      </c>
      <c r="K22" s="123">
        <f t="shared" si="4"/>
        <v>0</v>
      </c>
      <c r="L22" s="123">
        <f t="shared" si="4"/>
        <v>0</v>
      </c>
      <c r="M22" s="123">
        <f t="shared" si="4"/>
        <v>0</v>
      </c>
      <c r="N22" s="123">
        <f t="shared" si="4"/>
        <v>0</v>
      </c>
      <c r="O22" s="338"/>
      <c r="P22" s="128"/>
      <c r="Q22" s="128"/>
      <c r="R22" s="128"/>
      <c r="S22" s="128"/>
      <c r="T22" s="496"/>
    </row>
    <row r="23" spans="1:20" ht="14.25" x14ac:dyDescent="0.2">
      <c r="A23" s="339" t="s">
        <v>46</v>
      </c>
      <c r="B23" s="889" t="s">
        <v>563</v>
      </c>
      <c r="C23" s="889"/>
      <c r="D23" s="889"/>
      <c r="E23" s="889"/>
      <c r="F23" s="889"/>
      <c r="G23" s="889"/>
      <c r="H23" s="889"/>
      <c r="I23" s="889"/>
      <c r="J23" s="889"/>
      <c r="K23" s="889"/>
      <c r="L23" s="889"/>
      <c r="M23" s="889"/>
      <c r="N23" s="889"/>
      <c r="O23" s="889"/>
      <c r="P23" s="889"/>
      <c r="Q23" s="889"/>
      <c r="R23" s="889"/>
      <c r="S23" s="889"/>
      <c r="T23" s="890"/>
    </row>
    <row r="24" spans="1:20" ht="14.25" customHeight="1" x14ac:dyDescent="0.2">
      <c r="A24" s="27" t="s">
        <v>46</v>
      </c>
      <c r="B24" s="32" t="s">
        <v>36</v>
      </c>
      <c r="C24" s="424" t="s">
        <v>564</v>
      </c>
      <c r="D24" s="425"/>
      <c r="E24" s="425"/>
      <c r="F24" s="425"/>
      <c r="G24" s="425"/>
      <c r="H24" s="425"/>
      <c r="I24" s="425"/>
      <c r="J24" s="425"/>
      <c r="K24" s="425"/>
      <c r="L24" s="425"/>
      <c r="M24" s="425"/>
      <c r="N24" s="425"/>
      <c r="O24" s="425"/>
      <c r="P24" s="425"/>
      <c r="Q24" s="425"/>
      <c r="R24" s="425"/>
      <c r="S24" s="425"/>
      <c r="T24" s="426"/>
    </row>
    <row r="25" spans="1:20" ht="12.75" x14ac:dyDescent="0.2">
      <c r="A25" s="404" t="s">
        <v>46</v>
      </c>
      <c r="B25" s="406" t="s">
        <v>36</v>
      </c>
      <c r="C25" s="408" t="s">
        <v>36</v>
      </c>
      <c r="D25" s="432" t="s">
        <v>565</v>
      </c>
      <c r="E25" s="540" t="s">
        <v>66</v>
      </c>
      <c r="F25" s="397">
        <v>188212349</v>
      </c>
      <c r="G25" s="130" t="s">
        <v>40</v>
      </c>
      <c r="H25" s="119">
        <v>1215</v>
      </c>
      <c r="I25" s="119"/>
      <c r="J25" s="119"/>
      <c r="K25" s="119"/>
      <c r="L25" s="7">
        <f>H25*1.05</f>
        <v>1275.75</v>
      </c>
      <c r="M25" s="7">
        <f>L25*1.05</f>
        <v>1339.5375000000001</v>
      </c>
      <c r="N25" s="119">
        <f>H25+L25+M25</f>
        <v>3830.2875000000004</v>
      </c>
      <c r="O25" s="382" t="s">
        <v>566</v>
      </c>
      <c r="P25" s="536" t="s">
        <v>267</v>
      </c>
      <c r="Q25" s="536">
        <v>66</v>
      </c>
      <c r="R25" s="536">
        <v>66</v>
      </c>
      <c r="S25" s="536">
        <v>66</v>
      </c>
      <c r="T25" s="496" t="s">
        <v>567</v>
      </c>
    </row>
    <row r="26" spans="1:20" ht="12.75" x14ac:dyDescent="0.2">
      <c r="A26" s="447"/>
      <c r="B26" s="448"/>
      <c r="C26" s="427"/>
      <c r="D26" s="432"/>
      <c r="E26" s="540"/>
      <c r="F26" s="457"/>
      <c r="G26" s="130" t="s">
        <v>95</v>
      </c>
      <c r="H26" s="119"/>
      <c r="I26" s="119"/>
      <c r="J26" s="119"/>
      <c r="K26" s="119"/>
      <c r="L26" s="226"/>
      <c r="M26" s="226"/>
      <c r="N26" s="119"/>
      <c r="O26" s="499"/>
      <c r="P26" s="547"/>
      <c r="Q26" s="547"/>
      <c r="R26" s="547"/>
      <c r="S26" s="547"/>
      <c r="T26" s="496"/>
    </row>
    <row r="27" spans="1:20" ht="12.75" x14ac:dyDescent="0.2">
      <c r="A27" s="447"/>
      <c r="B27" s="448"/>
      <c r="C27" s="427"/>
      <c r="D27" s="432"/>
      <c r="E27" s="540"/>
      <c r="F27" s="457"/>
      <c r="G27" s="126" t="s">
        <v>23</v>
      </c>
      <c r="H27" s="123">
        <f>+H25+H26</f>
        <v>1215</v>
      </c>
      <c r="I27" s="123">
        <f t="shared" ref="I27:N27" si="5">+I25+I26</f>
        <v>0</v>
      </c>
      <c r="J27" s="123">
        <f t="shared" si="5"/>
        <v>0</v>
      </c>
      <c r="K27" s="123">
        <f t="shared" si="5"/>
        <v>0</v>
      </c>
      <c r="L27" s="123">
        <f t="shared" si="5"/>
        <v>1275.75</v>
      </c>
      <c r="M27" s="123">
        <f t="shared" si="5"/>
        <v>1339.5375000000001</v>
      </c>
      <c r="N27" s="123">
        <f t="shared" si="5"/>
        <v>3830.2875000000004</v>
      </c>
      <c r="O27" s="387"/>
      <c r="P27" s="537"/>
      <c r="Q27" s="537"/>
      <c r="R27" s="537"/>
      <c r="S27" s="537"/>
      <c r="T27" s="496"/>
    </row>
    <row r="28" spans="1:20" ht="14.25" customHeight="1" x14ac:dyDescent="0.2">
      <c r="A28" s="447"/>
      <c r="B28" s="448"/>
      <c r="C28" s="427"/>
      <c r="D28" s="432"/>
      <c r="E28" s="540"/>
      <c r="F28" s="457"/>
      <c r="G28" s="130" t="s">
        <v>53</v>
      </c>
      <c r="H28" s="119">
        <v>12</v>
      </c>
      <c r="I28" s="119"/>
      <c r="J28" s="119"/>
      <c r="K28" s="119"/>
      <c r="L28" s="7">
        <f>H28*1.05</f>
        <v>12.600000000000001</v>
      </c>
      <c r="M28" s="7">
        <f>L28*1.05</f>
        <v>13.230000000000002</v>
      </c>
      <c r="N28" s="119">
        <f>H28+L28+M28</f>
        <v>37.830000000000005</v>
      </c>
      <c r="O28" s="382" t="s">
        <v>568</v>
      </c>
      <c r="P28" s="536" t="s">
        <v>65</v>
      </c>
      <c r="Q28" s="536">
        <v>1000</v>
      </c>
      <c r="R28" s="536">
        <v>1000</v>
      </c>
      <c r="S28" s="536">
        <v>1000</v>
      </c>
      <c r="T28" s="496"/>
    </row>
    <row r="29" spans="1:20" ht="14.25" customHeight="1" x14ac:dyDescent="0.2">
      <c r="A29" s="405"/>
      <c r="B29" s="407"/>
      <c r="C29" s="409"/>
      <c r="D29" s="432"/>
      <c r="E29" s="540"/>
      <c r="F29" s="398"/>
      <c r="G29" s="126" t="s">
        <v>23</v>
      </c>
      <c r="H29" s="123">
        <f>+H28</f>
        <v>12</v>
      </c>
      <c r="I29" s="123">
        <f t="shared" ref="I29:N29" si="6">+I28</f>
        <v>0</v>
      </c>
      <c r="J29" s="123">
        <f t="shared" si="6"/>
        <v>0</v>
      </c>
      <c r="K29" s="123">
        <f t="shared" si="6"/>
        <v>0</v>
      </c>
      <c r="L29" s="123">
        <f t="shared" si="6"/>
        <v>12.600000000000001</v>
      </c>
      <c r="M29" s="123">
        <f t="shared" si="6"/>
        <v>13.230000000000002</v>
      </c>
      <c r="N29" s="123">
        <f t="shared" si="6"/>
        <v>37.830000000000005</v>
      </c>
      <c r="O29" s="387"/>
      <c r="P29" s="537"/>
      <c r="Q29" s="537"/>
      <c r="R29" s="537"/>
      <c r="S29" s="537"/>
      <c r="T29" s="496"/>
    </row>
    <row r="30" spans="1:20" ht="12.75" x14ac:dyDescent="0.2">
      <c r="A30" s="456" t="s">
        <v>46</v>
      </c>
      <c r="B30" s="443" t="s">
        <v>36</v>
      </c>
      <c r="C30" s="474" t="s">
        <v>46</v>
      </c>
      <c r="D30" s="432" t="s">
        <v>569</v>
      </c>
      <c r="E30" s="540" t="s">
        <v>66</v>
      </c>
      <c r="F30" s="397">
        <v>188212153</v>
      </c>
      <c r="G30" s="130" t="s">
        <v>40</v>
      </c>
      <c r="H30" s="119">
        <v>803.7</v>
      </c>
      <c r="I30" s="119"/>
      <c r="J30" s="119"/>
      <c r="K30" s="119"/>
      <c r="L30" s="7">
        <f>H30*1.05</f>
        <v>843.8850000000001</v>
      </c>
      <c r="M30" s="7">
        <f>L30*1.05</f>
        <v>886.07925000000012</v>
      </c>
      <c r="N30" s="119">
        <f>H30+L30+M30</f>
        <v>2533.6642500000003</v>
      </c>
      <c r="O30" s="382" t="s">
        <v>570</v>
      </c>
      <c r="P30" s="536" t="s">
        <v>267</v>
      </c>
      <c r="Q30" s="536">
        <v>50</v>
      </c>
      <c r="R30" s="536">
        <v>50</v>
      </c>
      <c r="S30" s="536">
        <v>50</v>
      </c>
      <c r="T30" s="496" t="s">
        <v>571</v>
      </c>
    </row>
    <row r="31" spans="1:20" ht="12.75" x14ac:dyDescent="0.2">
      <c r="A31" s="456"/>
      <c r="B31" s="443"/>
      <c r="C31" s="474"/>
      <c r="D31" s="432"/>
      <c r="E31" s="540"/>
      <c r="F31" s="457"/>
      <c r="G31" s="130" t="s">
        <v>95</v>
      </c>
      <c r="H31" s="119">
        <v>35.299999999999997</v>
      </c>
      <c r="I31" s="119"/>
      <c r="J31" s="119"/>
      <c r="K31" s="119"/>
      <c r="L31" s="7">
        <f>H31*1.05</f>
        <v>37.064999999999998</v>
      </c>
      <c r="M31" s="7">
        <f>L31*1.05</f>
        <v>38.91825</v>
      </c>
      <c r="N31" s="119">
        <f>H31+L31+M31</f>
        <v>111.28325</v>
      </c>
      <c r="O31" s="499"/>
      <c r="P31" s="547"/>
      <c r="Q31" s="547"/>
      <c r="R31" s="547"/>
      <c r="S31" s="547"/>
      <c r="T31" s="496"/>
    </row>
    <row r="32" spans="1:20" ht="12.75" x14ac:dyDescent="0.2">
      <c r="A32" s="456"/>
      <c r="B32" s="443"/>
      <c r="C32" s="474"/>
      <c r="D32" s="432"/>
      <c r="E32" s="540"/>
      <c r="F32" s="457"/>
      <c r="G32" s="126" t="s">
        <v>23</v>
      </c>
      <c r="H32" s="123">
        <f>+H30+H31</f>
        <v>839</v>
      </c>
      <c r="I32" s="123">
        <f t="shared" ref="I32:M32" si="7">+I30+I31</f>
        <v>0</v>
      </c>
      <c r="J32" s="123">
        <f t="shared" si="7"/>
        <v>0</v>
      </c>
      <c r="K32" s="123">
        <f t="shared" si="7"/>
        <v>0</v>
      </c>
      <c r="L32" s="123">
        <f t="shared" si="7"/>
        <v>880.95</v>
      </c>
      <c r="M32" s="123">
        <f t="shared" si="7"/>
        <v>924.99750000000017</v>
      </c>
      <c r="N32" s="123">
        <f>+N30</f>
        <v>2533.6642500000003</v>
      </c>
      <c r="O32" s="387"/>
      <c r="P32" s="537"/>
      <c r="Q32" s="537"/>
      <c r="R32" s="537"/>
      <c r="S32" s="537"/>
      <c r="T32" s="496"/>
    </row>
    <row r="33" spans="1:20" ht="14.25" customHeight="1" x14ac:dyDescent="0.2">
      <c r="A33" s="456"/>
      <c r="B33" s="443"/>
      <c r="C33" s="474"/>
      <c r="D33" s="432"/>
      <c r="E33" s="540"/>
      <c r="F33" s="457"/>
      <c r="G33" s="130" t="s">
        <v>53</v>
      </c>
      <c r="H33" s="119">
        <v>1</v>
      </c>
      <c r="I33" s="119"/>
      <c r="J33" s="119"/>
      <c r="K33" s="119"/>
      <c r="L33" s="7">
        <f>H33*1.05</f>
        <v>1.05</v>
      </c>
      <c r="M33" s="7">
        <f>L33*1.05</f>
        <v>1.1025</v>
      </c>
      <c r="N33" s="119">
        <f>H33+L33+M33</f>
        <v>3.1524999999999999</v>
      </c>
      <c r="O33" s="382" t="s">
        <v>572</v>
      </c>
      <c r="P33" s="536" t="s">
        <v>65</v>
      </c>
      <c r="Q33" s="536">
        <v>7000</v>
      </c>
      <c r="R33" s="536">
        <v>7</v>
      </c>
      <c r="S33" s="536">
        <v>7000</v>
      </c>
      <c r="T33" s="496"/>
    </row>
    <row r="34" spans="1:20" ht="14.25" customHeight="1" x14ac:dyDescent="0.2">
      <c r="A34" s="456"/>
      <c r="B34" s="443"/>
      <c r="C34" s="474"/>
      <c r="D34" s="432"/>
      <c r="E34" s="540"/>
      <c r="F34" s="398"/>
      <c r="G34" s="126" t="s">
        <v>23</v>
      </c>
      <c r="H34" s="123">
        <f>+H33</f>
        <v>1</v>
      </c>
      <c r="I34" s="123">
        <f t="shared" ref="I34:N34" si="8">+I33</f>
        <v>0</v>
      </c>
      <c r="J34" s="123">
        <f t="shared" si="8"/>
        <v>0</v>
      </c>
      <c r="K34" s="123">
        <f t="shared" si="8"/>
        <v>0</v>
      </c>
      <c r="L34" s="123">
        <f t="shared" si="8"/>
        <v>1.05</v>
      </c>
      <c r="M34" s="123">
        <f t="shared" si="8"/>
        <v>1.1025</v>
      </c>
      <c r="N34" s="123">
        <f t="shared" si="8"/>
        <v>3.1524999999999999</v>
      </c>
      <c r="O34" s="387"/>
      <c r="P34" s="537"/>
      <c r="Q34" s="537"/>
      <c r="R34" s="537"/>
      <c r="S34" s="537"/>
      <c r="T34" s="496"/>
    </row>
    <row r="35" spans="1:20" ht="14.25" customHeight="1" x14ac:dyDescent="0.2">
      <c r="A35" s="404" t="s">
        <v>46</v>
      </c>
      <c r="B35" s="443" t="s">
        <v>36</v>
      </c>
      <c r="C35" s="540" t="s">
        <v>50</v>
      </c>
      <c r="D35" s="546" t="s">
        <v>573</v>
      </c>
      <c r="E35" s="540" t="s">
        <v>66</v>
      </c>
      <c r="F35" s="397">
        <v>188212349</v>
      </c>
      <c r="G35" s="130" t="s">
        <v>53</v>
      </c>
      <c r="H35" s="119">
        <v>5</v>
      </c>
      <c r="I35" s="119"/>
      <c r="J35" s="119"/>
      <c r="K35" s="119"/>
      <c r="L35" s="7">
        <f>H35*1.05</f>
        <v>5.25</v>
      </c>
      <c r="M35" s="7">
        <f>L35*1.05</f>
        <v>5.5125000000000002</v>
      </c>
      <c r="N35" s="119">
        <f>H35+L35+M35</f>
        <v>15.762499999999999</v>
      </c>
      <c r="O35" s="887" t="s">
        <v>574</v>
      </c>
      <c r="P35" s="536" t="s">
        <v>65</v>
      </c>
      <c r="Q35" s="536">
        <v>11000</v>
      </c>
      <c r="R35" s="536">
        <v>11000</v>
      </c>
      <c r="S35" s="536">
        <v>12000</v>
      </c>
      <c r="T35" s="496" t="s">
        <v>567</v>
      </c>
    </row>
    <row r="36" spans="1:20" ht="14.25" customHeight="1" x14ac:dyDescent="0.2">
      <c r="A36" s="405"/>
      <c r="B36" s="443"/>
      <c r="C36" s="540"/>
      <c r="D36" s="546"/>
      <c r="E36" s="540"/>
      <c r="F36" s="398"/>
      <c r="G36" s="126" t="s">
        <v>314</v>
      </c>
      <c r="H36" s="123">
        <f>+H35</f>
        <v>5</v>
      </c>
      <c r="I36" s="123">
        <f t="shared" ref="I36:N36" si="9">+I35</f>
        <v>0</v>
      </c>
      <c r="J36" s="123">
        <f t="shared" si="9"/>
        <v>0</v>
      </c>
      <c r="K36" s="123">
        <f t="shared" si="9"/>
        <v>0</v>
      </c>
      <c r="L36" s="123">
        <f t="shared" si="9"/>
        <v>5.25</v>
      </c>
      <c r="M36" s="123">
        <f t="shared" si="9"/>
        <v>5.5125000000000002</v>
      </c>
      <c r="N36" s="123">
        <f t="shared" si="9"/>
        <v>15.762499999999999</v>
      </c>
      <c r="O36" s="888"/>
      <c r="P36" s="537"/>
      <c r="Q36" s="537"/>
      <c r="R36" s="537"/>
      <c r="S36" s="537"/>
      <c r="T36" s="496"/>
    </row>
    <row r="37" spans="1:20" ht="14.25" customHeight="1" x14ac:dyDescent="0.2">
      <c r="A37" s="891" t="s">
        <v>236</v>
      </c>
      <c r="B37" s="891"/>
      <c r="C37" s="891"/>
      <c r="D37" s="891"/>
      <c r="E37" s="891"/>
      <c r="F37" s="891"/>
      <c r="G37" s="891"/>
      <c r="H37" s="133">
        <f>+SUM(H38:H46)</f>
        <v>2829.4</v>
      </c>
      <c r="I37" s="133">
        <f t="shared" ref="I37:N37" si="10">+SUM(I38:I46)</f>
        <v>0</v>
      </c>
      <c r="J37" s="133">
        <f t="shared" si="10"/>
        <v>0</v>
      </c>
      <c r="K37" s="133">
        <f t="shared" si="10"/>
        <v>0</v>
      </c>
      <c r="L37" s="133">
        <f t="shared" si="10"/>
        <v>2970.87</v>
      </c>
      <c r="M37" s="133">
        <f t="shared" si="10"/>
        <v>3119.413500000001</v>
      </c>
      <c r="N37" s="133">
        <f t="shared" si="10"/>
        <v>8919.683500000001</v>
      </c>
      <c r="O37" s="133"/>
      <c r="P37" s="133"/>
      <c r="Q37" s="133"/>
      <c r="R37" s="133"/>
      <c r="S37" s="133"/>
      <c r="T37" s="134"/>
    </row>
    <row r="38" spans="1:20" ht="14.25" customHeight="1" x14ac:dyDescent="0.2">
      <c r="A38" s="892"/>
      <c r="B38" s="892"/>
      <c r="C38" s="892"/>
      <c r="D38" s="892"/>
      <c r="E38" s="892"/>
      <c r="F38" s="892"/>
      <c r="G38" s="34" t="s">
        <v>40</v>
      </c>
      <c r="H38" s="8">
        <f t="shared" ref="H38:N38" si="11">+H13+H16+H18+H25+H30+H8</f>
        <v>2775.1</v>
      </c>
      <c r="I38" s="8">
        <f t="shared" si="11"/>
        <v>0</v>
      </c>
      <c r="J38" s="8">
        <f t="shared" si="11"/>
        <v>0</v>
      </c>
      <c r="K38" s="8">
        <f t="shared" si="11"/>
        <v>0</v>
      </c>
      <c r="L38" s="8">
        <f t="shared" si="11"/>
        <v>2913.855</v>
      </c>
      <c r="M38" s="8">
        <f t="shared" si="11"/>
        <v>3059.5477500000006</v>
      </c>
      <c r="N38" s="8">
        <f t="shared" si="11"/>
        <v>8748.5027500000015</v>
      </c>
      <c r="O38" s="8"/>
      <c r="P38" s="8"/>
      <c r="Q38" s="8"/>
      <c r="R38" s="8"/>
      <c r="S38" s="8"/>
      <c r="T38" s="52"/>
    </row>
    <row r="39" spans="1:20" ht="14.25" customHeight="1" x14ac:dyDescent="0.2">
      <c r="A39" s="892"/>
      <c r="B39" s="892"/>
      <c r="C39" s="892"/>
      <c r="D39" s="892"/>
      <c r="E39" s="892"/>
      <c r="F39" s="892"/>
      <c r="G39" s="34" t="s">
        <v>53</v>
      </c>
      <c r="H39" s="8">
        <f>+H28+H33+H35+H14</f>
        <v>19</v>
      </c>
      <c r="I39" s="8">
        <f t="shared" ref="I39:K39" si="12">+I28+I33+I35</f>
        <v>0</v>
      </c>
      <c r="J39" s="8">
        <f t="shared" si="12"/>
        <v>0</v>
      </c>
      <c r="K39" s="8">
        <f t="shared" si="12"/>
        <v>0</v>
      </c>
      <c r="L39" s="8">
        <f>+L28+L33+L35+L14</f>
        <v>19.950000000000003</v>
      </c>
      <c r="M39" s="8">
        <f>+M28+M33+M35+M14</f>
        <v>20.947500000000002</v>
      </c>
      <c r="N39" s="8">
        <f>+N28+N33+N35+N14</f>
        <v>59.897500000000008</v>
      </c>
      <c r="O39" s="8"/>
      <c r="P39" s="8"/>
      <c r="Q39" s="8"/>
      <c r="R39" s="8"/>
      <c r="S39" s="8"/>
      <c r="T39" s="52"/>
    </row>
    <row r="40" spans="1:20" ht="14.25" customHeight="1" x14ac:dyDescent="0.2">
      <c r="A40" s="556"/>
      <c r="B40" s="557"/>
      <c r="C40" s="557"/>
      <c r="D40" s="557"/>
      <c r="E40" s="557"/>
      <c r="F40" s="558"/>
      <c r="G40" s="34" t="s">
        <v>95</v>
      </c>
      <c r="H40" s="4">
        <f t="shared" ref="H40:N40" si="13">+H26+H31+H9</f>
        <v>35.299999999999997</v>
      </c>
      <c r="I40" s="4">
        <f t="shared" si="13"/>
        <v>0</v>
      </c>
      <c r="J40" s="4">
        <f t="shared" si="13"/>
        <v>0</v>
      </c>
      <c r="K40" s="4">
        <f t="shared" si="13"/>
        <v>0</v>
      </c>
      <c r="L40" s="4">
        <f>+L26+L31+L9</f>
        <v>37.064999999999998</v>
      </c>
      <c r="M40" s="4">
        <f>+M26+M31+M9</f>
        <v>38.91825</v>
      </c>
      <c r="N40" s="4">
        <f t="shared" si="13"/>
        <v>111.28325</v>
      </c>
      <c r="O40" s="4"/>
      <c r="P40" s="4"/>
      <c r="Q40" s="4"/>
      <c r="R40" s="4"/>
      <c r="S40" s="4"/>
      <c r="T40" s="52"/>
    </row>
    <row r="41" spans="1:20" ht="14.25" customHeight="1" x14ac:dyDescent="0.2">
      <c r="A41" s="556"/>
      <c r="B41" s="557"/>
      <c r="C41" s="557"/>
      <c r="D41" s="557"/>
      <c r="E41" s="557"/>
      <c r="F41" s="558"/>
      <c r="G41" s="34" t="s">
        <v>178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/>
      <c r="P41" s="4"/>
      <c r="Q41" s="4"/>
      <c r="R41" s="4"/>
      <c r="S41" s="4"/>
      <c r="T41" s="202"/>
    </row>
    <row r="42" spans="1:20" ht="14.25" customHeight="1" x14ac:dyDescent="0.2">
      <c r="A42" s="556"/>
      <c r="B42" s="557"/>
      <c r="C42" s="557"/>
      <c r="D42" s="557"/>
      <c r="E42" s="557"/>
      <c r="F42" s="558"/>
      <c r="G42" s="34" t="s">
        <v>149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/>
      <c r="P42" s="4"/>
      <c r="Q42" s="4"/>
      <c r="R42" s="4"/>
      <c r="S42" s="4"/>
      <c r="T42" s="202"/>
    </row>
    <row r="43" spans="1:20" ht="14.25" customHeight="1" x14ac:dyDescent="0.2">
      <c r="A43" s="556"/>
      <c r="B43" s="557"/>
      <c r="C43" s="557"/>
      <c r="D43" s="557"/>
      <c r="E43" s="557"/>
      <c r="F43" s="558"/>
      <c r="G43" s="34" t="s">
        <v>179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/>
      <c r="P43" s="4"/>
      <c r="Q43" s="4"/>
      <c r="R43" s="4"/>
      <c r="S43" s="4"/>
      <c r="T43" s="202"/>
    </row>
    <row r="44" spans="1:20" ht="14.25" customHeight="1" x14ac:dyDescent="0.2">
      <c r="A44" s="556"/>
      <c r="B44" s="557"/>
      <c r="C44" s="557"/>
      <c r="D44" s="557"/>
      <c r="E44" s="557"/>
      <c r="F44" s="558"/>
      <c r="G44" s="34" t="s">
        <v>238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/>
      <c r="P44" s="4"/>
      <c r="Q44" s="4"/>
      <c r="R44" s="4"/>
      <c r="S44" s="4"/>
      <c r="T44" s="202"/>
    </row>
    <row r="45" spans="1:20" ht="14.25" customHeight="1" x14ac:dyDescent="0.2">
      <c r="A45" s="556"/>
      <c r="B45" s="557"/>
      <c r="C45" s="557"/>
      <c r="D45" s="557"/>
      <c r="E45" s="557"/>
      <c r="F45" s="558"/>
      <c r="G45" s="34" t="s">
        <v>141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/>
      <c r="P45" s="4"/>
      <c r="Q45" s="4"/>
      <c r="R45" s="4"/>
      <c r="S45" s="4"/>
      <c r="T45" s="202"/>
    </row>
    <row r="46" spans="1:20" ht="14.25" customHeight="1" x14ac:dyDescent="0.2">
      <c r="A46" s="556"/>
      <c r="B46" s="557"/>
      <c r="C46" s="557"/>
      <c r="D46" s="557"/>
      <c r="E46" s="557"/>
      <c r="F46" s="558"/>
      <c r="G46" s="53" t="s">
        <v>144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/>
      <c r="P46" s="4"/>
      <c r="Q46" s="4"/>
      <c r="R46" s="4"/>
      <c r="S46" s="4"/>
      <c r="T46" s="202"/>
    </row>
    <row r="47" spans="1:20" ht="14.25" customHeight="1" x14ac:dyDescent="0.2">
      <c r="D47" s="340"/>
      <c r="E47" s="341"/>
      <c r="F47" s="340"/>
    </row>
    <row r="48" spans="1:20" ht="14.25" customHeight="1" x14ac:dyDescent="0.2"/>
    <row r="49" spans="4:6" ht="14.25" customHeight="1" x14ac:dyDescent="0.2">
      <c r="D49" s="342"/>
      <c r="E49" s="343"/>
      <c r="F49" s="342"/>
    </row>
    <row r="50" spans="4:6" ht="14.25" customHeight="1" x14ac:dyDescent="0.2">
      <c r="D50" s="344"/>
      <c r="E50" s="345"/>
      <c r="F50" s="344"/>
    </row>
    <row r="51" spans="4:6" ht="14.25" customHeight="1" x14ac:dyDescent="0.2">
      <c r="D51" s="346"/>
      <c r="E51" s="347"/>
      <c r="F51" s="346"/>
    </row>
    <row r="52" spans="4:6" ht="14.25" customHeight="1" x14ac:dyDescent="0.2"/>
    <row r="53" spans="4:6" ht="14.25" customHeight="1" x14ac:dyDescent="0.2"/>
    <row r="54" spans="4:6" ht="14.25" customHeight="1" x14ac:dyDescent="0.2">
      <c r="D54" s="348"/>
      <c r="E54" s="349"/>
      <c r="F54" s="348"/>
    </row>
    <row r="55" spans="4:6" ht="14.25" customHeight="1" x14ac:dyDescent="0.2">
      <c r="D55" s="344"/>
      <c r="E55" s="345"/>
      <c r="F55" s="344"/>
    </row>
    <row r="56" spans="4:6" ht="14.25" customHeight="1" x14ac:dyDescent="0.2">
      <c r="D56" s="340"/>
      <c r="E56" s="341"/>
      <c r="F56" s="340"/>
    </row>
    <row r="57" spans="4:6" ht="14.25" customHeight="1" x14ac:dyDescent="0.2">
      <c r="D57" s="340"/>
      <c r="E57" s="341"/>
      <c r="F57" s="340"/>
    </row>
    <row r="58" spans="4:6" ht="14.25" customHeight="1" x14ac:dyDescent="0.2">
      <c r="D58" s="340"/>
      <c r="E58" s="341"/>
      <c r="F58" s="340"/>
    </row>
    <row r="59" spans="4:6" ht="14.25" customHeight="1" x14ac:dyDescent="0.2">
      <c r="D59" s="340"/>
      <c r="E59" s="341"/>
      <c r="F59" s="340"/>
    </row>
    <row r="60" spans="4:6" ht="14.25" customHeight="1" x14ac:dyDescent="0.2">
      <c r="D60" s="340"/>
      <c r="E60" s="341"/>
      <c r="F60" s="340"/>
    </row>
    <row r="61" spans="4:6" ht="14.25" customHeight="1" x14ac:dyDescent="0.2">
      <c r="D61" s="340"/>
      <c r="E61" s="341"/>
      <c r="F61" s="340"/>
    </row>
    <row r="62" spans="4:6" ht="14.25" customHeight="1" x14ac:dyDescent="0.2">
      <c r="D62" s="340"/>
      <c r="E62" s="341"/>
      <c r="F62" s="340"/>
    </row>
    <row r="63" spans="4:6" ht="14.25" customHeight="1" x14ac:dyDescent="0.2">
      <c r="D63" s="340"/>
      <c r="E63" s="341"/>
      <c r="F63" s="340"/>
    </row>
    <row r="64" spans="4:6" ht="14.25" customHeight="1" x14ac:dyDescent="0.2">
      <c r="D64" s="340"/>
      <c r="E64" s="341"/>
      <c r="F64" s="340"/>
    </row>
    <row r="65" spans="4:6" ht="14.25" customHeight="1" x14ac:dyDescent="0.2">
      <c r="D65" s="348"/>
      <c r="E65" s="349"/>
      <c r="F65" s="348"/>
    </row>
    <row r="66" spans="4:6" ht="14.25" customHeight="1" x14ac:dyDescent="0.2">
      <c r="D66" s="340"/>
      <c r="E66" s="341"/>
      <c r="F66" s="340"/>
    </row>
    <row r="67" spans="4:6" ht="14.25" customHeight="1" x14ac:dyDescent="0.2">
      <c r="D67" s="340"/>
      <c r="E67" s="341"/>
      <c r="F67" s="340"/>
    </row>
    <row r="68" spans="4:6" ht="14.25" customHeight="1" x14ac:dyDescent="0.2">
      <c r="D68" s="340"/>
      <c r="E68" s="341"/>
      <c r="F68" s="340"/>
    </row>
    <row r="69" spans="4:6" ht="14.25" customHeight="1" x14ac:dyDescent="0.2">
      <c r="D69" s="340"/>
      <c r="E69" s="341"/>
      <c r="F69" s="340"/>
    </row>
    <row r="70" spans="4:6" ht="14.25" customHeight="1" x14ac:dyDescent="0.2"/>
    <row r="71" spans="4:6" ht="14.25" customHeight="1" x14ac:dyDescent="0.2"/>
    <row r="72" spans="4:6" ht="14.25" customHeight="1" x14ac:dyDescent="0.2"/>
    <row r="73" spans="4:6" ht="14.25" customHeight="1" x14ac:dyDescent="0.2">
      <c r="D73" s="350"/>
      <c r="E73" s="341"/>
      <c r="F73" s="350"/>
    </row>
    <row r="74" spans="4:6" ht="14.25" customHeight="1" x14ac:dyDescent="0.2">
      <c r="D74" s="340"/>
      <c r="E74" s="341"/>
      <c r="F74" s="340"/>
    </row>
    <row r="75" spans="4:6" ht="14.25" customHeight="1" x14ac:dyDescent="0.2">
      <c r="D75" s="346"/>
      <c r="E75" s="347"/>
      <c r="F75" s="346"/>
    </row>
    <row r="76" spans="4:6" ht="14.25" customHeight="1" x14ac:dyDescent="0.2">
      <c r="D76" s="346"/>
      <c r="E76" s="347"/>
      <c r="F76" s="346"/>
    </row>
    <row r="77" spans="4:6" ht="14.25" customHeight="1" x14ac:dyDescent="0.2">
      <c r="D77" s="340"/>
      <c r="E77" s="341"/>
      <c r="F77" s="340"/>
    </row>
    <row r="78" spans="4:6" ht="14.25" customHeight="1" x14ac:dyDescent="0.2"/>
    <row r="79" spans="4:6" ht="14.25" customHeight="1" x14ac:dyDescent="0.2"/>
    <row r="80" spans="4:6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</sheetData>
  <mergeCells count="126">
    <mergeCell ref="A46:F46"/>
    <mergeCell ref="A40:F40"/>
    <mergeCell ref="A41:F41"/>
    <mergeCell ref="A42:F42"/>
    <mergeCell ref="A43:F43"/>
    <mergeCell ref="A44:F44"/>
    <mergeCell ref="A45:F45"/>
    <mergeCell ref="R35:R36"/>
    <mergeCell ref="S35:S36"/>
    <mergeCell ref="T35:T36"/>
    <mergeCell ref="A37:G37"/>
    <mergeCell ref="A38:F38"/>
    <mergeCell ref="A39:F39"/>
    <mergeCell ref="S33:S34"/>
    <mergeCell ref="A35:A36"/>
    <mergeCell ref="B35:B36"/>
    <mergeCell ref="C35:C36"/>
    <mergeCell ref="D35:D36"/>
    <mergeCell ref="E35:E36"/>
    <mergeCell ref="F35:F36"/>
    <mergeCell ref="O35:O36"/>
    <mergeCell ref="P35:P36"/>
    <mergeCell ref="Q35:Q36"/>
    <mergeCell ref="A30:A34"/>
    <mergeCell ref="B30:B34"/>
    <mergeCell ref="C30:C34"/>
    <mergeCell ref="D30:D34"/>
    <mergeCell ref="E30:E34"/>
    <mergeCell ref="F30:F34"/>
    <mergeCell ref="O30:O32"/>
    <mergeCell ref="P30:P32"/>
    <mergeCell ref="Q30:Q32"/>
    <mergeCell ref="R30:R32"/>
    <mergeCell ref="S30:S32"/>
    <mergeCell ref="T30:T34"/>
    <mergeCell ref="O33:O34"/>
    <mergeCell ref="P33:P34"/>
    <mergeCell ref="Q33:Q34"/>
    <mergeCell ref="R33:R34"/>
    <mergeCell ref="A21:A22"/>
    <mergeCell ref="B21:B22"/>
    <mergeCell ref="C21:C22"/>
    <mergeCell ref="D21:D22"/>
    <mergeCell ref="E21:E22"/>
    <mergeCell ref="F21:F22"/>
    <mergeCell ref="P25:P27"/>
    <mergeCell ref="Q25:Q27"/>
    <mergeCell ref="R25:R27"/>
    <mergeCell ref="B23:T23"/>
    <mergeCell ref="C24:T24"/>
    <mergeCell ref="A25:A29"/>
    <mergeCell ref="B25:B29"/>
    <mergeCell ref="C25:C29"/>
    <mergeCell ref="D25:D29"/>
    <mergeCell ref="E25:E29"/>
    <mergeCell ref="F25:F29"/>
    <mergeCell ref="O25:O27"/>
    <mergeCell ref="S25:S27"/>
    <mergeCell ref="T25:T29"/>
    <mergeCell ref="O28:O29"/>
    <mergeCell ref="P28:P29"/>
    <mergeCell ref="Q28:Q29"/>
    <mergeCell ref="R28:R29"/>
    <mergeCell ref="S28:S29"/>
    <mergeCell ref="Q18:Q19"/>
    <mergeCell ref="R18:R19"/>
    <mergeCell ref="S18:S19"/>
    <mergeCell ref="T18:T19"/>
    <mergeCell ref="C20:T20"/>
    <mergeCell ref="T21:T22"/>
    <mergeCell ref="A18:A19"/>
    <mergeCell ref="B18:B19"/>
    <mergeCell ref="C18:C19"/>
    <mergeCell ref="D18:D19"/>
    <mergeCell ref="E18:E19"/>
    <mergeCell ref="F18:F19"/>
    <mergeCell ref="O18:O19"/>
    <mergeCell ref="P18:P19"/>
    <mergeCell ref="T13:T15"/>
    <mergeCell ref="A16:A17"/>
    <mergeCell ref="B16:B17"/>
    <mergeCell ref="C16:C17"/>
    <mergeCell ref="D16:D17"/>
    <mergeCell ref="E16:E17"/>
    <mergeCell ref="F16:F17"/>
    <mergeCell ref="O16:O17"/>
    <mergeCell ref="P16:P17"/>
    <mergeCell ref="Q16:Q17"/>
    <mergeCell ref="A13:A15"/>
    <mergeCell ref="B13:B15"/>
    <mergeCell ref="C13:C15"/>
    <mergeCell ref="D13:D15"/>
    <mergeCell ref="E13:E15"/>
    <mergeCell ref="F13:F15"/>
    <mergeCell ref="R16:R17"/>
    <mergeCell ref="S16:S17"/>
    <mergeCell ref="T16:T17"/>
    <mergeCell ref="T8:T10"/>
    <mergeCell ref="O9:O10"/>
    <mergeCell ref="P9:P10"/>
    <mergeCell ref="Q9:Q10"/>
    <mergeCell ref="R9:R10"/>
    <mergeCell ref="S9:S10"/>
    <mergeCell ref="T2:T4"/>
    <mergeCell ref="H3:H4"/>
    <mergeCell ref="I3:K3"/>
    <mergeCell ref="Q3:S3"/>
    <mergeCell ref="C7:T7"/>
    <mergeCell ref="N2:N4"/>
    <mergeCell ref="O2:S2"/>
    <mergeCell ref="A8:A10"/>
    <mergeCell ref="B8:B10"/>
    <mergeCell ref="C8:C10"/>
    <mergeCell ref="D8:D10"/>
    <mergeCell ref="E8:E10"/>
    <mergeCell ref="G2:G4"/>
    <mergeCell ref="H2:K2"/>
    <mergeCell ref="L2:L4"/>
    <mergeCell ref="M2:M4"/>
    <mergeCell ref="A2:A4"/>
    <mergeCell ref="B2:B4"/>
    <mergeCell ref="C2:C4"/>
    <mergeCell ref="D2:D4"/>
    <mergeCell ref="E2:E4"/>
    <mergeCell ref="F2:F4"/>
    <mergeCell ref="F8:F10"/>
  </mergeCells>
  <pageMargins left="0.7" right="0.7" top="0.75" bottom="0.75" header="0.3" footer="0.3"/>
  <pageSetup paperSize="70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C8762829780F42AA9000A834F5C0FD" ma:contentTypeVersion="4" ma:contentTypeDescription="Create a new document." ma:contentTypeScope="" ma:versionID="1828dc166ace169c45f121fe600cbd0c">
  <xsd:schema xmlns:xsd="http://www.w3.org/2001/XMLSchema" xmlns:xs="http://www.w3.org/2001/XMLSchema" xmlns:p="http://schemas.microsoft.com/office/2006/metadata/properties" xmlns:ns2="9d297257-fd0f-4a51-a8b8-0335c48d7a5d" xmlns:ns3="a908a323-228c-49c3-ae04-c673c1ba2d56" targetNamespace="http://schemas.microsoft.com/office/2006/metadata/properties" ma:root="true" ma:fieldsID="f1c50df1b9d5ebee300973be40ac17dd" ns2:_="" ns3:_="">
    <xsd:import namespace="9d297257-fd0f-4a51-a8b8-0335c48d7a5d"/>
    <xsd:import namespace="a908a323-228c-49c3-ae04-c673c1ba2d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297257-fd0f-4a51-a8b8-0335c48d7a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8a323-228c-49c3-ae04-c673c1ba2d5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FF20A5-6413-4D63-8846-1BA1E9FE6D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FAE1E6-D2E9-40EB-A6C8-46878481EB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297257-fd0f-4a51-a8b8-0335c48d7a5d"/>
    <ds:schemaRef ds:uri="a908a323-228c-49c3-ae04-c673c1ba2d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9698CA-08BB-4891-BD54-01B7E8289D4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12</vt:i4>
      </vt:variant>
      <vt:variant>
        <vt:lpstr>Įvardytieji diapazonai</vt:lpstr>
      </vt:variant>
      <vt:variant>
        <vt:i4>2</vt:i4>
      </vt:variant>
    </vt:vector>
  </HeadingPairs>
  <TitlesOfParts>
    <vt:vector size="14" baseType="lpstr">
      <vt:lpstr>bendros sumos</vt:lpstr>
      <vt:lpstr>I_savivalda</vt:lpstr>
      <vt:lpstr>II švietimas</vt:lpstr>
      <vt:lpstr>III sveikata</vt:lpstr>
      <vt:lpstr>IV socialinė</vt:lpstr>
      <vt:lpstr>V Saugumas</vt:lpstr>
      <vt:lpstr>VI Verslas Turizmas</vt:lpstr>
      <vt:lpstr>VII Žemės ūkis</vt:lpstr>
      <vt:lpstr>VIII Infrastruktūra</vt:lpstr>
      <vt:lpstr>IX Renovacijos</vt:lpstr>
      <vt:lpstr>X Aplinkosauga</vt:lpstr>
      <vt:lpstr>XI laisvalaikis</vt:lpstr>
      <vt:lpstr>I_savivalda!Print_Area</vt:lpstr>
      <vt:lpstr>I_savivalda!Print_Titles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2023-02-01T08:40:20Z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0x010100A6C8762829780F42AA9000A834F5C0FD</vt:lpwstr>
  </property>
</Properties>
</file>